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y Drive\Equity Cashless Fare\CBA Documents\"/>
    </mc:Choice>
  </mc:AlternateContent>
  <bookViews>
    <workbookView xWindow="18600" yWindow="0" windowWidth="28800" windowHeight="12450" tabRatio="701"/>
  </bookViews>
  <sheets>
    <sheet name="Instructions" sheetId="26" r:id="rId1"/>
    <sheet name="Unit Prices" sheetId="3" r:id="rId2"/>
    <sheet name="Case &amp; Scenario Parameters" sheetId="4" r:id="rId3"/>
    <sheet name="Qualitative Analysis" sheetId="13" r:id="rId4"/>
    <sheet name="Results" sheetId="5" r:id="rId5"/>
    <sheet name="Base" sheetId="7" state="hidden" r:id="rId6"/>
    <sheet name="Scenario1" sheetId="22" state="hidden" r:id="rId7"/>
    <sheet name="Scenario2" sheetId="23" state="hidden" r:id="rId8"/>
    <sheet name="Scenario3" sheetId="24" state="hidden" r:id="rId9"/>
    <sheet name="Scenario4" sheetId="25" state="hidden" r:id="rId10"/>
  </sheets>
  <calcPr calcId="152511"/>
</workbook>
</file>

<file path=xl/calcChain.xml><?xml version="1.0" encoding="utf-8"?>
<calcChain xmlns="http://schemas.openxmlformats.org/spreadsheetml/2006/main">
  <c r="K24" i="5" l="1"/>
  <c r="J24" i="5"/>
  <c r="I24" i="5"/>
  <c r="H24" i="5"/>
  <c r="K23" i="5"/>
  <c r="J23" i="5"/>
  <c r="I23" i="5"/>
  <c r="H23" i="5"/>
  <c r="K22" i="5"/>
  <c r="J22" i="5"/>
  <c r="I22" i="5"/>
  <c r="H22" i="5"/>
  <c r="K21" i="5"/>
  <c r="J21" i="5"/>
  <c r="I21" i="5"/>
  <c r="H21" i="5"/>
  <c r="K20" i="5"/>
  <c r="J20" i="5"/>
  <c r="I20" i="5"/>
  <c r="H20" i="5"/>
  <c r="K19" i="5"/>
  <c r="J19" i="5"/>
  <c r="I19" i="5"/>
  <c r="H19" i="5"/>
  <c r="K18" i="5"/>
  <c r="J18" i="5"/>
  <c r="I18" i="5"/>
  <c r="H18" i="5"/>
  <c r="B19" i="5"/>
  <c r="C19" i="5"/>
  <c r="D19" i="5"/>
  <c r="E19" i="5"/>
  <c r="F19" i="5"/>
  <c r="G19" i="5"/>
  <c r="B20" i="5"/>
  <c r="C20" i="5"/>
  <c r="D20" i="5"/>
  <c r="E20" i="5"/>
  <c r="F20" i="5"/>
  <c r="G20" i="5"/>
  <c r="B21" i="5"/>
  <c r="C21" i="5"/>
  <c r="D21" i="5"/>
  <c r="E21" i="5"/>
  <c r="F21" i="5"/>
  <c r="G21" i="5"/>
  <c r="B22" i="5"/>
  <c r="C22" i="5"/>
  <c r="D22" i="5"/>
  <c r="E22" i="5"/>
  <c r="F22" i="5"/>
  <c r="G22" i="5"/>
  <c r="B23" i="5"/>
  <c r="C23" i="5"/>
  <c r="D23" i="5"/>
  <c r="E23" i="5"/>
  <c r="F23" i="5"/>
  <c r="G23" i="5"/>
  <c r="B24" i="5"/>
  <c r="C24" i="5"/>
  <c r="D24" i="5"/>
  <c r="E24" i="5"/>
  <c r="F24" i="5"/>
  <c r="G24" i="5"/>
  <c r="C18" i="5"/>
  <c r="D18" i="5"/>
  <c r="E18" i="5"/>
  <c r="F18" i="5"/>
  <c r="G18" i="5"/>
  <c r="B18" i="5"/>
  <c r="B30" i="13"/>
  <c r="F33" i="13"/>
  <c r="E33" i="13"/>
  <c r="D33" i="13"/>
  <c r="C33" i="13"/>
  <c r="B33" i="13"/>
  <c r="F32" i="13"/>
  <c r="E32" i="13"/>
  <c r="D32" i="13"/>
  <c r="C32" i="13"/>
  <c r="B32" i="13"/>
  <c r="F31" i="13"/>
  <c r="E31" i="13"/>
  <c r="D31" i="13"/>
  <c r="C31" i="13"/>
  <c r="B31" i="13"/>
  <c r="F30" i="13"/>
  <c r="E30" i="13"/>
  <c r="D30" i="13"/>
  <c r="C30" i="13"/>
  <c r="F29" i="13"/>
  <c r="E29" i="13"/>
  <c r="D29" i="13"/>
  <c r="C29" i="13"/>
  <c r="B29" i="13"/>
  <c r="F28" i="13"/>
  <c r="E28" i="13"/>
  <c r="D28" i="13"/>
  <c r="C28" i="13"/>
  <c r="B28" i="13"/>
  <c r="F27" i="13"/>
  <c r="E27" i="13"/>
  <c r="D27" i="13"/>
  <c r="C27" i="13"/>
  <c r="B27" i="13"/>
  <c r="F26" i="13"/>
  <c r="E26" i="13"/>
  <c r="D26" i="13"/>
  <c r="C26" i="13"/>
  <c r="B26" i="13"/>
  <c r="F12" i="4" l="1"/>
  <c r="B3" i="5" l="1"/>
  <c r="E37" i="3" l="1"/>
  <c r="D37" i="3"/>
  <c r="D31" i="3"/>
  <c r="E31" i="3"/>
  <c r="D32" i="3"/>
  <c r="E32" i="3"/>
  <c r="D34" i="3"/>
  <c r="D35" i="3"/>
  <c r="D36" i="3"/>
  <c r="E36" i="3"/>
  <c r="E30" i="3"/>
  <c r="A2" i="25" l="1"/>
  <c r="B2" i="25"/>
  <c r="C2" i="25"/>
  <c r="B75" i="25" s="1"/>
  <c r="A3" i="25"/>
  <c r="B3" i="25"/>
  <c r="C3" i="25"/>
  <c r="A4" i="25"/>
  <c r="A5" i="25"/>
  <c r="B5" i="25"/>
  <c r="A6" i="25"/>
  <c r="B6" i="25"/>
  <c r="B1" i="25"/>
  <c r="C1" i="25"/>
  <c r="A1" i="25"/>
  <c r="A2" i="24"/>
  <c r="B2" i="24"/>
  <c r="B19" i="24" s="1"/>
  <c r="C46" i="24" s="1"/>
  <c r="C2" i="24"/>
  <c r="A3" i="24"/>
  <c r="B3" i="24"/>
  <c r="C3" i="24"/>
  <c r="A4" i="24"/>
  <c r="A5" i="24"/>
  <c r="B5" i="24"/>
  <c r="A6" i="24"/>
  <c r="B6" i="24"/>
  <c r="B1" i="24"/>
  <c r="C1" i="24"/>
  <c r="A1" i="24"/>
  <c r="A2" i="23"/>
  <c r="B2" i="23"/>
  <c r="C2" i="23"/>
  <c r="A3" i="23"/>
  <c r="B3" i="23"/>
  <c r="C3" i="23"/>
  <c r="A4" i="23"/>
  <c r="A5" i="23"/>
  <c r="B5" i="23"/>
  <c r="A6" i="23"/>
  <c r="B6" i="23"/>
  <c r="B1" i="23"/>
  <c r="C1" i="23"/>
  <c r="A1" i="23"/>
  <c r="A2" i="22"/>
  <c r="B2" i="22"/>
  <c r="C2" i="22"/>
  <c r="A3" i="22"/>
  <c r="B3" i="22"/>
  <c r="C3" i="22"/>
  <c r="B26" i="22" s="1"/>
  <c r="A4" i="22"/>
  <c r="A5" i="22"/>
  <c r="B5" i="22"/>
  <c r="A6" i="22"/>
  <c r="B6" i="22"/>
  <c r="B1" i="22"/>
  <c r="C1" i="22"/>
  <c r="A1" i="22"/>
  <c r="D111" i="25"/>
  <c r="E111" i="25" s="1"/>
  <c r="F111" i="25" s="1"/>
  <c r="G111" i="25" s="1"/>
  <c r="H111" i="25" s="1"/>
  <c r="I111" i="25" s="1"/>
  <c r="J111" i="25" s="1"/>
  <c r="K111" i="25" s="1"/>
  <c r="D104" i="25"/>
  <c r="E104" i="25" s="1"/>
  <c r="F104" i="25" s="1"/>
  <c r="G104" i="25" s="1"/>
  <c r="H104" i="25" s="1"/>
  <c r="I104" i="25" s="1"/>
  <c r="J104" i="25" s="1"/>
  <c r="K104" i="25" s="1"/>
  <c r="D97" i="25"/>
  <c r="E97" i="25" s="1"/>
  <c r="F97" i="25" s="1"/>
  <c r="G97" i="25" s="1"/>
  <c r="H97" i="25" s="1"/>
  <c r="I97" i="25" s="1"/>
  <c r="J97" i="25" s="1"/>
  <c r="K97" i="25" s="1"/>
  <c r="B93" i="25"/>
  <c r="L93" i="25" s="1"/>
  <c r="B92" i="25"/>
  <c r="L92" i="25" s="1"/>
  <c r="B91" i="25"/>
  <c r="L91" i="25" s="1"/>
  <c r="B90" i="25"/>
  <c r="L90" i="25" s="1"/>
  <c r="B87" i="25"/>
  <c r="L87" i="25" s="1"/>
  <c r="E55" i="25"/>
  <c r="F55" i="25" s="1"/>
  <c r="G55" i="25" s="1"/>
  <c r="H55" i="25" s="1"/>
  <c r="I55" i="25" s="1"/>
  <c r="J55" i="25" s="1"/>
  <c r="K55" i="25" s="1"/>
  <c r="D55" i="25"/>
  <c r="D48" i="25"/>
  <c r="E48" i="25" s="1"/>
  <c r="F48" i="25" s="1"/>
  <c r="G48" i="25" s="1"/>
  <c r="H48" i="25" s="1"/>
  <c r="I48" i="25" s="1"/>
  <c r="J48" i="25" s="1"/>
  <c r="K48" i="25" s="1"/>
  <c r="D41" i="25"/>
  <c r="E41" i="25" s="1"/>
  <c r="F41" i="25" s="1"/>
  <c r="G41" i="25" s="1"/>
  <c r="H41" i="25" s="1"/>
  <c r="I41" i="25" s="1"/>
  <c r="J41" i="25" s="1"/>
  <c r="K41" i="25" s="1"/>
  <c r="B37" i="25"/>
  <c r="L37" i="25" s="1"/>
  <c r="B36" i="25"/>
  <c r="L36" i="25" s="1"/>
  <c r="B35" i="25"/>
  <c r="L35" i="25" s="1"/>
  <c r="B34" i="25"/>
  <c r="L34" i="25" s="1"/>
  <c r="B31" i="25"/>
  <c r="L31" i="25" s="1"/>
  <c r="B26" i="25"/>
  <c r="D111" i="24"/>
  <c r="E111" i="24" s="1"/>
  <c r="F111" i="24" s="1"/>
  <c r="G111" i="24" s="1"/>
  <c r="H111" i="24" s="1"/>
  <c r="I111" i="24" s="1"/>
  <c r="J111" i="24" s="1"/>
  <c r="K111" i="24" s="1"/>
  <c r="D104" i="24"/>
  <c r="E104" i="24" s="1"/>
  <c r="F104" i="24" s="1"/>
  <c r="G104" i="24" s="1"/>
  <c r="H104" i="24" s="1"/>
  <c r="I104" i="24" s="1"/>
  <c r="J104" i="24" s="1"/>
  <c r="K104" i="24" s="1"/>
  <c r="D97" i="24"/>
  <c r="E97" i="24" s="1"/>
  <c r="F97" i="24" s="1"/>
  <c r="G97" i="24" s="1"/>
  <c r="H97" i="24" s="1"/>
  <c r="I97" i="24" s="1"/>
  <c r="J97" i="24" s="1"/>
  <c r="K97" i="24" s="1"/>
  <c r="B93" i="24"/>
  <c r="L93" i="24" s="1"/>
  <c r="B92" i="24"/>
  <c r="L92" i="24" s="1"/>
  <c r="B91" i="24"/>
  <c r="L91" i="24" s="1"/>
  <c r="B90" i="24"/>
  <c r="L90" i="24" s="1"/>
  <c r="B87" i="24"/>
  <c r="L87" i="24" s="1"/>
  <c r="E55" i="24"/>
  <c r="F55" i="24" s="1"/>
  <c r="G55" i="24" s="1"/>
  <c r="H55" i="24" s="1"/>
  <c r="I55" i="24" s="1"/>
  <c r="J55" i="24" s="1"/>
  <c r="K55" i="24" s="1"/>
  <c r="D55" i="24"/>
  <c r="D48" i="24"/>
  <c r="E48" i="24" s="1"/>
  <c r="F48" i="24" s="1"/>
  <c r="G48" i="24" s="1"/>
  <c r="H48" i="24" s="1"/>
  <c r="I48" i="24" s="1"/>
  <c r="J48" i="24" s="1"/>
  <c r="K48" i="24" s="1"/>
  <c r="D41" i="24"/>
  <c r="B37" i="24"/>
  <c r="L37" i="24" s="1"/>
  <c r="B36" i="24"/>
  <c r="L36" i="24" s="1"/>
  <c r="B35" i="24"/>
  <c r="L35" i="24" s="1"/>
  <c r="B34" i="24"/>
  <c r="L34" i="24" s="1"/>
  <c r="B31" i="24"/>
  <c r="L31" i="24" s="1"/>
  <c r="B26" i="24"/>
  <c r="C53" i="24" s="1"/>
  <c r="D111" i="23"/>
  <c r="E111" i="23" s="1"/>
  <c r="F111" i="23" s="1"/>
  <c r="G111" i="23" s="1"/>
  <c r="D104" i="23"/>
  <c r="E104" i="23" s="1"/>
  <c r="F104" i="23" s="1"/>
  <c r="E97" i="23"/>
  <c r="F97" i="23" s="1"/>
  <c r="G97" i="23" s="1"/>
  <c r="H97" i="23" s="1"/>
  <c r="I97" i="23" s="1"/>
  <c r="J97" i="23" s="1"/>
  <c r="K97" i="23" s="1"/>
  <c r="D97" i="23"/>
  <c r="B93" i="23"/>
  <c r="L93" i="23" s="1"/>
  <c r="B92" i="23"/>
  <c r="L92" i="23" s="1"/>
  <c r="B91" i="23"/>
  <c r="L91" i="23" s="1"/>
  <c r="B90" i="23"/>
  <c r="L90" i="23" s="1"/>
  <c r="B87" i="23"/>
  <c r="L87" i="23" s="1"/>
  <c r="B75" i="23"/>
  <c r="C102" i="23" s="1"/>
  <c r="D102" i="23" s="1"/>
  <c r="E102" i="23" s="1"/>
  <c r="F102" i="23" s="1"/>
  <c r="G102" i="23" s="1"/>
  <c r="H102" i="23" s="1"/>
  <c r="I102" i="23" s="1"/>
  <c r="J102" i="23" s="1"/>
  <c r="K102" i="23" s="1"/>
  <c r="D55" i="23"/>
  <c r="E55" i="23" s="1"/>
  <c r="F55" i="23" s="1"/>
  <c r="G55" i="23" s="1"/>
  <c r="H55" i="23" s="1"/>
  <c r="I55" i="23" s="1"/>
  <c r="J55" i="23" s="1"/>
  <c r="K55" i="23" s="1"/>
  <c r="D48" i="23"/>
  <c r="E48" i="23" s="1"/>
  <c r="F48" i="23" s="1"/>
  <c r="G48" i="23" s="1"/>
  <c r="H48" i="23" s="1"/>
  <c r="I48" i="23" s="1"/>
  <c r="J48" i="23" s="1"/>
  <c r="K48" i="23" s="1"/>
  <c r="D41" i="23"/>
  <c r="E41" i="23" s="1"/>
  <c r="F41" i="23" s="1"/>
  <c r="G41" i="23" s="1"/>
  <c r="H41" i="23" s="1"/>
  <c r="I41" i="23" s="1"/>
  <c r="J41" i="23" s="1"/>
  <c r="K41" i="23" s="1"/>
  <c r="B37" i="23"/>
  <c r="L37" i="23" s="1"/>
  <c r="B36" i="23"/>
  <c r="L36" i="23" s="1"/>
  <c r="B35" i="23"/>
  <c r="L35" i="23" s="1"/>
  <c r="B34" i="23"/>
  <c r="L34" i="23" s="1"/>
  <c r="B31" i="23"/>
  <c r="L31" i="23" s="1"/>
  <c r="B82" i="23"/>
  <c r="D111" i="22"/>
  <c r="E111" i="22" s="1"/>
  <c r="F111" i="22" s="1"/>
  <c r="G111" i="22" s="1"/>
  <c r="H111" i="22" s="1"/>
  <c r="I111" i="22" s="1"/>
  <c r="J111" i="22" s="1"/>
  <c r="K111" i="22" s="1"/>
  <c r="D104" i="22"/>
  <c r="E104" i="22" s="1"/>
  <c r="F104" i="22" s="1"/>
  <c r="G104" i="22" s="1"/>
  <c r="H104" i="22" s="1"/>
  <c r="I104" i="22" s="1"/>
  <c r="J104" i="22" s="1"/>
  <c r="K104" i="22" s="1"/>
  <c r="D97" i="22"/>
  <c r="E97" i="22" s="1"/>
  <c r="F97" i="22" s="1"/>
  <c r="G97" i="22" s="1"/>
  <c r="H97" i="22" s="1"/>
  <c r="I97" i="22" s="1"/>
  <c r="J97" i="22" s="1"/>
  <c r="K97" i="22" s="1"/>
  <c r="B93" i="22"/>
  <c r="L93" i="22" s="1"/>
  <c r="B92" i="22"/>
  <c r="L92" i="22" s="1"/>
  <c r="B91" i="22"/>
  <c r="L91" i="22" s="1"/>
  <c r="B90" i="22"/>
  <c r="L90" i="22" s="1"/>
  <c r="B87" i="22"/>
  <c r="L87" i="22" s="1"/>
  <c r="D55" i="22"/>
  <c r="E55" i="22" s="1"/>
  <c r="F55" i="22" s="1"/>
  <c r="G55" i="22" s="1"/>
  <c r="H55" i="22" s="1"/>
  <c r="I55" i="22" s="1"/>
  <c r="J55" i="22" s="1"/>
  <c r="K55" i="22" s="1"/>
  <c r="D48" i="22"/>
  <c r="E48" i="22" s="1"/>
  <c r="F48" i="22" s="1"/>
  <c r="G48" i="22" s="1"/>
  <c r="H48" i="22" s="1"/>
  <c r="I48" i="22" s="1"/>
  <c r="J48" i="22" s="1"/>
  <c r="K48" i="22" s="1"/>
  <c r="D41" i="22"/>
  <c r="E41" i="22" s="1"/>
  <c r="F41" i="22" s="1"/>
  <c r="G41" i="22" s="1"/>
  <c r="H41" i="22" s="1"/>
  <c r="I41" i="22" s="1"/>
  <c r="J41" i="22" s="1"/>
  <c r="K41" i="22" s="1"/>
  <c r="B37" i="22"/>
  <c r="L37" i="22" s="1"/>
  <c r="B36" i="22"/>
  <c r="L36" i="22" s="1"/>
  <c r="B35" i="22"/>
  <c r="L35" i="22" s="1"/>
  <c r="B34" i="22"/>
  <c r="L34" i="22" s="1"/>
  <c r="B31" i="22"/>
  <c r="L31" i="22" s="1"/>
  <c r="B6" i="7"/>
  <c r="A2" i="7"/>
  <c r="B2" i="7"/>
  <c r="C2" i="7"/>
  <c r="A3" i="7"/>
  <c r="B3" i="7"/>
  <c r="C3" i="7"/>
  <c r="A4" i="7"/>
  <c r="C4" i="7"/>
  <c r="A5" i="7"/>
  <c r="B5" i="7"/>
  <c r="C5" i="7"/>
  <c r="A6" i="7"/>
  <c r="C6" i="7"/>
  <c r="B1" i="7"/>
  <c r="C1" i="7"/>
  <c r="A1" i="7"/>
  <c r="D111" i="7"/>
  <c r="E111" i="7" s="1"/>
  <c r="F111" i="7" s="1"/>
  <c r="G111" i="7" s="1"/>
  <c r="H111" i="7" s="1"/>
  <c r="I111" i="7" s="1"/>
  <c r="J111" i="7" s="1"/>
  <c r="K111" i="7" s="1"/>
  <c r="D104" i="7"/>
  <c r="E104" i="7" s="1"/>
  <c r="F104" i="7" s="1"/>
  <c r="G104" i="7" s="1"/>
  <c r="H104" i="7" s="1"/>
  <c r="I104" i="7" s="1"/>
  <c r="J104" i="7" s="1"/>
  <c r="K104" i="7" s="1"/>
  <c r="D97" i="7"/>
  <c r="E97" i="7" s="1"/>
  <c r="F97" i="7" s="1"/>
  <c r="G97" i="7" s="1"/>
  <c r="H97" i="7" s="1"/>
  <c r="I97" i="7" s="1"/>
  <c r="J97" i="7" s="1"/>
  <c r="K97" i="7" s="1"/>
  <c r="D41" i="7"/>
  <c r="E41" i="7" s="1"/>
  <c r="F41" i="7" s="1"/>
  <c r="G41" i="7" s="1"/>
  <c r="H41" i="7" s="1"/>
  <c r="I41" i="7" s="1"/>
  <c r="J41" i="7" s="1"/>
  <c r="K41" i="7" s="1"/>
  <c r="D48" i="7"/>
  <c r="E48" i="7" s="1"/>
  <c r="F48" i="7" s="1"/>
  <c r="G48" i="7" s="1"/>
  <c r="H48" i="7" s="1"/>
  <c r="I48" i="7" s="1"/>
  <c r="J48" i="7" s="1"/>
  <c r="K48" i="7" s="1"/>
  <c r="D55" i="7"/>
  <c r="E55" i="7" s="1"/>
  <c r="F55" i="7" s="1"/>
  <c r="G55" i="7" s="1"/>
  <c r="H55" i="7" s="1"/>
  <c r="I55" i="7" s="1"/>
  <c r="J55" i="7" s="1"/>
  <c r="K55" i="7" s="1"/>
  <c r="B93" i="7"/>
  <c r="B92" i="7"/>
  <c r="C53" i="25" l="1"/>
  <c r="L26" i="25"/>
  <c r="L75" i="25"/>
  <c r="C102" i="25"/>
  <c r="L104" i="25"/>
  <c r="B16" i="25"/>
  <c r="L41" i="25"/>
  <c r="B19" i="25"/>
  <c r="B72" i="25"/>
  <c r="L48" i="25"/>
  <c r="B82" i="25"/>
  <c r="L55" i="25"/>
  <c r="L97" i="25"/>
  <c r="L111" i="25"/>
  <c r="L19" i="24"/>
  <c r="E41" i="24"/>
  <c r="F41" i="24" s="1"/>
  <c r="G41" i="24" s="1"/>
  <c r="H41" i="24" s="1"/>
  <c r="I41" i="24" s="1"/>
  <c r="J41" i="24" s="1"/>
  <c r="K41" i="24" s="1"/>
  <c r="L55" i="24"/>
  <c r="B72" i="24"/>
  <c r="B16" i="24"/>
  <c r="B75" i="24"/>
  <c r="L111" i="24"/>
  <c r="D46" i="24"/>
  <c r="E46" i="24" s="1"/>
  <c r="F46" i="24" s="1"/>
  <c r="G46" i="24" s="1"/>
  <c r="H46" i="24" s="1"/>
  <c r="I46" i="24" s="1"/>
  <c r="J46" i="24" s="1"/>
  <c r="K46" i="24" s="1"/>
  <c r="L26" i="24"/>
  <c r="L104" i="24"/>
  <c r="D53" i="24"/>
  <c r="E53" i="24" s="1"/>
  <c r="F53" i="24" s="1"/>
  <c r="G53" i="24" s="1"/>
  <c r="H53" i="24" s="1"/>
  <c r="I53" i="24" s="1"/>
  <c r="J53" i="24" s="1"/>
  <c r="K53" i="24" s="1"/>
  <c r="B82" i="24"/>
  <c r="L48" i="24"/>
  <c r="L97" i="24"/>
  <c r="G104" i="23"/>
  <c r="H104" i="23" s="1"/>
  <c r="I104" i="23" s="1"/>
  <c r="J104" i="23" s="1"/>
  <c r="K104" i="23" s="1"/>
  <c r="C109" i="23"/>
  <c r="L82" i="23"/>
  <c r="H111" i="23"/>
  <c r="I111" i="23" s="1"/>
  <c r="J111" i="23" s="1"/>
  <c r="K111" i="23" s="1"/>
  <c r="B72" i="23"/>
  <c r="B16" i="23"/>
  <c r="L41" i="23"/>
  <c r="L102" i="23"/>
  <c r="L55" i="23"/>
  <c r="L75" i="23"/>
  <c r="B19" i="23"/>
  <c r="B26" i="23"/>
  <c r="L48" i="23"/>
  <c r="L97" i="23"/>
  <c r="L26" i="22"/>
  <c r="C53" i="22"/>
  <c r="B16" i="22"/>
  <c r="L55" i="22"/>
  <c r="L48" i="22"/>
  <c r="L104" i="22"/>
  <c r="L41" i="22"/>
  <c r="B72" i="22"/>
  <c r="B75" i="22"/>
  <c r="B19" i="22"/>
  <c r="B82" i="22"/>
  <c r="L97" i="22"/>
  <c r="L111" i="22"/>
  <c r="L111" i="23" l="1"/>
  <c r="L104" i="23"/>
  <c r="L19" i="25"/>
  <c r="C46" i="25"/>
  <c r="D102" i="25"/>
  <c r="E102" i="25" s="1"/>
  <c r="F102" i="25" s="1"/>
  <c r="G102" i="25" s="1"/>
  <c r="H102" i="25" s="1"/>
  <c r="I102" i="25" s="1"/>
  <c r="J102" i="25" s="1"/>
  <c r="K102" i="25" s="1"/>
  <c r="C109" i="25"/>
  <c r="L82" i="25"/>
  <c r="C99" i="25"/>
  <c r="L72" i="25"/>
  <c r="C43" i="25"/>
  <c r="L16" i="25"/>
  <c r="D53" i="25"/>
  <c r="E53" i="25" s="1"/>
  <c r="F53" i="25" s="1"/>
  <c r="G53" i="25" s="1"/>
  <c r="H53" i="25" s="1"/>
  <c r="I53" i="25" s="1"/>
  <c r="J53" i="25" s="1"/>
  <c r="K53" i="25" s="1"/>
  <c r="L82" i="24"/>
  <c r="C109" i="24"/>
  <c r="L75" i="24"/>
  <c r="C102" i="24"/>
  <c r="C99" i="24"/>
  <c r="L72" i="24"/>
  <c r="L41" i="24"/>
  <c r="L16" i="24"/>
  <c r="C43" i="24"/>
  <c r="L46" i="24"/>
  <c r="L53" i="24"/>
  <c r="C99" i="23"/>
  <c r="L72" i="23"/>
  <c r="C53" i="23"/>
  <c r="L26" i="23"/>
  <c r="C46" i="23"/>
  <c r="L19" i="23"/>
  <c r="C43" i="23"/>
  <c r="L16" i="23"/>
  <c r="D109" i="23"/>
  <c r="E109" i="23" s="1"/>
  <c r="F109" i="23" s="1"/>
  <c r="G109" i="23" s="1"/>
  <c r="H109" i="23" s="1"/>
  <c r="I109" i="23" s="1"/>
  <c r="J109" i="23" s="1"/>
  <c r="K109" i="23" s="1"/>
  <c r="L75" i="22"/>
  <c r="C102" i="22"/>
  <c r="C99" i="22"/>
  <c r="L72" i="22"/>
  <c r="C43" i="22"/>
  <c r="L16" i="22"/>
  <c r="D53" i="22"/>
  <c r="E53" i="22" s="1"/>
  <c r="F53" i="22" s="1"/>
  <c r="G53" i="22" s="1"/>
  <c r="H53" i="22" s="1"/>
  <c r="I53" i="22" s="1"/>
  <c r="J53" i="22" s="1"/>
  <c r="K53" i="22" s="1"/>
  <c r="L82" i="22"/>
  <c r="C109" i="22"/>
  <c r="C46" i="22"/>
  <c r="L19" i="22"/>
  <c r="L102" i="25" l="1"/>
  <c r="D46" i="25"/>
  <c r="E46" i="25" s="1"/>
  <c r="F46" i="25" s="1"/>
  <c r="G46" i="25" s="1"/>
  <c r="H46" i="25" s="1"/>
  <c r="I46" i="25" s="1"/>
  <c r="J46" i="25" s="1"/>
  <c r="K46" i="25" s="1"/>
  <c r="D99" i="25"/>
  <c r="E99" i="25" s="1"/>
  <c r="F99" i="25" s="1"/>
  <c r="G99" i="25" s="1"/>
  <c r="H99" i="25" s="1"/>
  <c r="I99" i="25" s="1"/>
  <c r="J99" i="25" s="1"/>
  <c r="K99" i="25" s="1"/>
  <c r="D43" i="25"/>
  <c r="E43" i="25" s="1"/>
  <c r="F43" i="25" s="1"/>
  <c r="G43" i="25" s="1"/>
  <c r="H43" i="25" s="1"/>
  <c r="I43" i="25" s="1"/>
  <c r="J43" i="25" s="1"/>
  <c r="K43" i="25" s="1"/>
  <c r="L53" i="25"/>
  <c r="D109" i="25"/>
  <c r="E109" i="25" s="1"/>
  <c r="F109" i="25" s="1"/>
  <c r="G109" i="25" s="1"/>
  <c r="H109" i="25" s="1"/>
  <c r="I109" i="25" s="1"/>
  <c r="J109" i="25" s="1"/>
  <c r="K109" i="25" s="1"/>
  <c r="D43" i="24"/>
  <c r="E43" i="24" s="1"/>
  <c r="F43" i="24" s="1"/>
  <c r="G43" i="24" s="1"/>
  <c r="H43" i="24" s="1"/>
  <c r="I43" i="24" s="1"/>
  <c r="J43" i="24" s="1"/>
  <c r="K43" i="24" s="1"/>
  <c r="D99" i="24"/>
  <c r="E99" i="24" s="1"/>
  <c r="F99" i="24" s="1"/>
  <c r="G99" i="24" s="1"/>
  <c r="H99" i="24" s="1"/>
  <c r="I99" i="24" s="1"/>
  <c r="J99" i="24" s="1"/>
  <c r="K99" i="24" s="1"/>
  <c r="D102" i="24"/>
  <c r="E102" i="24" s="1"/>
  <c r="F102" i="24" s="1"/>
  <c r="G102" i="24" s="1"/>
  <c r="H102" i="24" s="1"/>
  <c r="I102" i="24" s="1"/>
  <c r="J102" i="24" s="1"/>
  <c r="K102" i="24" s="1"/>
  <c r="D109" i="24"/>
  <c r="E109" i="24" s="1"/>
  <c r="F109" i="24" s="1"/>
  <c r="G109" i="24" s="1"/>
  <c r="H109" i="24" s="1"/>
  <c r="I109" i="24" s="1"/>
  <c r="J109" i="24" s="1"/>
  <c r="K109" i="24" s="1"/>
  <c r="D43" i="23"/>
  <c r="E43" i="23" s="1"/>
  <c r="F43" i="23" s="1"/>
  <c r="G43" i="23" s="1"/>
  <c r="H43" i="23" s="1"/>
  <c r="I43" i="23" s="1"/>
  <c r="J43" i="23" s="1"/>
  <c r="K43" i="23" s="1"/>
  <c r="D53" i="23"/>
  <c r="E53" i="23" s="1"/>
  <c r="F53" i="23" s="1"/>
  <c r="G53" i="23" s="1"/>
  <c r="H53" i="23" s="1"/>
  <c r="I53" i="23" s="1"/>
  <c r="J53" i="23" s="1"/>
  <c r="K53" i="23" s="1"/>
  <c r="L109" i="23"/>
  <c r="D46" i="23"/>
  <c r="E46" i="23" s="1"/>
  <c r="F46" i="23" s="1"/>
  <c r="G46" i="23" s="1"/>
  <c r="H46" i="23" s="1"/>
  <c r="I46" i="23" s="1"/>
  <c r="J46" i="23" s="1"/>
  <c r="K46" i="23" s="1"/>
  <c r="D99" i="23"/>
  <c r="E99" i="23" s="1"/>
  <c r="F99" i="23" s="1"/>
  <c r="G99" i="23" s="1"/>
  <c r="H99" i="23" s="1"/>
  <c r="I99" i="23" s="1"/>
  <c r="J99" i="23" s="1"/>
  <c r="K99" i="23" s="1"/>
  <c r="D102" i="22"/>
  <c r="E102" i="22" s="1"/>
  <c r="F102" i="22" s="1"/>
  <c r="G102" i="22" s="1"/>
  <c r="H102" i="22" s="1"/>
  <c r="I102" i="22" s="1"/>
  <c r="J102" i="22" s="1"/>
  <c r="K102" i="22" s="1"/>
  <c r="D46" i="22"/>
  <c r="E46" i="22" s="1"/>
  <c r="F46" i="22" s="1"/>
  <c r="G46" i="22" s="1"/>
  <c r="H46" i="22" s="1"/>
  <c r="I46" i="22" s="1"/>
  <c r="J46" i="22" s="1"/>
  <c r="K46" i="22" s="1"/>
  <c r="L53" i="22"/>
  <c r="D43" i="22"/>
  <c r="E43" i="22" s="1"/>
  <c r="F43" i="22" s="1"/>
  <c r="G43" i="22" s="1"/>
  <c r="H43" i="22" s="1"/>
  <c r="I43" i="22" s="1"/>
  <c r="J43" i="22" s="1"/>
  <c r="K43" i="22" s="1"/>
  <c r="D99" i="22"/>
  <c r="E99" i="22" s="1"/>
  <c r="F99" i="22" s="1"/>
  <c r="G99" i="22" s="1"/>
  <c r="H99" i="22" s="1"/>
  <c r="I99" i="22" s="1"/>
  <c r="J99" i="22" s="1"/>
  <c r="K99" i="22" s="1"/>
  <c r="D109" i="22"/>
  <c r="E109" i="22" s="1"/>
  <c r="F109" i="22" s="1"/>
  <c r="G109" i="22" s="1"/>
  <c r="H109" i="22" s="1"/>
  <c r="I109" i="22" s="1"/>
  <c r="J109" i="22" s="1"/>
  <c r="K109" i="22" s="1"/>
  <c r="C37" i="3"/>
  <c r="C35" i="3"/>
  <c r="C36" i="3"/>
  <c r="C34" i="3"/>
  <c r="C31" i="3"/>
  <c r="C32" i="3"/>
  <c r="D30" i="3"/>
  <c r="C30" i="3"/>
  <c r="L46" i="22" l="1"/>
  <c r="L109" i="22"/>
  <c r="L46" i="25"/>
  <c r="L99" i="22"/>
  <c r="L43" i="22"/>
  <c r="L99" i="25"/>
  <c r="L43" i="25"/>
  <c r="L109" i="25"/>
  <c r="L109" i="24"/>
  <c r="L99" i="24"/>
  <c r="L102" i="24"/>
  <c r="L43" i="24"/>
  <c r="L99" i="23"/>
  <c r="L46" i="23"/>
  <c r="L53" i="23"/>
  <c r="L43" i="23"/>
  <c r="L102" i="22"/>
  <c r="L111" i="7"/>
  <c r="L104" i="7"/>
  <c r="L97" i="7"/>
  <c r="L93" i="7"/>
  <c r="L92" i="7"/>
  <c r="B91" i="7"/>
  <c r="L91" i="7" s="1"/>
  <c r="B90" i="7"/>
  <c r="L90" i="7" s="1"/>
  <c r="B87" i="7"/>
  <c r="L87" i="7" s="1"/>
  <c r="L55" i="7"/>
  <c r="L48" i="7"/>
  <c r="L41" i="7"/>
  <c r="B37" i="7"/>
  <c r="L37" i="7" s="1"/>
  <c r="B36" i="7"/>
  <c r="L36" i="7" s="1"/>
  <c r="B35" i="7"/>
  <c r="L35" i="7" s="1"/>
  <c r="B34" i="7"/>
  <c r="L34" i="7" s="1"/>
  <c r="B31" i="7"/>
  <c r="L31" i="7" s="1"/>
  <c r="B4" i="7"/>
  <c r="B4" i="24"/>
  <c r="B4" i="23"/>
  <c r="B4" i="22"/>
  <c r="B4" i="25"/>
  <c r="D12" i="4"/>
  <c r="C12" i="4"/>
  <c r="B12" i="4"/>
  <c r="E10" i="4"/>
  <c r="C10" i="4"/>
  <c r="B10" i="4"/>
  <c r="D9" i="4"/>
  <c r="D10" i="4" s="1"/>
  <c r="G8" i="4"/>
  <c r="E7" i="4"/>
  <c r="D7" i="4"/>
  <c r="B7" i="4"/>
  <c r="B15" i="7" s="1"/>
  <c r="C42" i="7" s="1"/>
  <c r="D42" i="7" s="1"/>
  <c r="E42" i="7" s="1"/>
  <c r="F42" i="7" s="1"/>
  <c r="G42" i="7" s="1"/>
  <c r="H42" i="7" s="1"/>
  <c r="I42" i="7" s="1"/>
  <c r="J42" i="7" s="1"/>
  <c r="K42" i="7" s="1"/>
  <c r="G5" i="4"/>
  <c r="G4" i="4"/>
  <c r="C5" i="5" s="1"/>
  <c r="B25" i="24" l="1"/>
  <c r="B25" i="25"/>
  <c r="B81" i="25"/>
  <c r="B81" i="23"/>
  <c r="B81" i="22"/>
  <c r="B81" i="24"/>
  <c r="B25" i="23"/>
  <c r="B25" i="22"/>
  <c r="B22" i="24"/>
  <c r="B22" i="22"/>
  <c r="B78" i="22"/>
  <c r="B78" i="24"/>
  <c r="B78" i="23"/>
  <c r="B78" i="25"/>
  <c r="B22" i="25"/>
  <c r="B22" i="23"/>
  <c r="B30" i="25"/>
  <c r="B30" i="24"/>
  <c r="B86" i="23"/>
  <c r="B86" i="25"/>
  <c r="B29" i="25"/>
  <c r="B29" i="24"/>
  <c r="B85" i="23"/>
  <c r="B29" i="23"/>
  <c r="B86" i="24"/>
  <c r="B85" i="22"/>
  <c r="B86" i="22"/>
  <c r="B85" i="24"/>
  <c r="B30" i="22"/>
  <c r="B85" i="25"/>
  <c r="B30" i="23"/>
  <c r="B29" i="22"/>
  <c r="B79" i="24"/>
  <c r="B23" i="24"/>
  <c r="B79" i="25"/>
  <c r="B23" i="23"/>
  <c r="B79" i="23"/>
  <c r="B23" i="22"/>
  <c r="B79" i="22"/>
  <c r="B23" i="25"/>
  <c r="B15" i="22"/>
  <c r="B15" i="24"/>
  <c r="B71" i="22"/>
  <c r="B71" i="24"/>
  <c r="B71" i="25"/>
  <c r="B71" i="23"/>
  <c r="B15" i="25"/>
  <c r="B15" i="23"/>
  <c r="B17" i="24"/>
  <c r="B73" i="24"/>
  <c r="B73" i="22"/>
  <c r="B73" i="23"/>
  <c r="B17" i="22"/>
  <c r="B17" i="25"/>
  <c r="B17" i="23"/>
  <c r="B73" i="25"/>
  <c r="B18" i="25"/>
  <c r="B18" i="24"/>
  <c r="B18" i="23"/>
  <c r="B18" i="22"/>
  <c r="B74" i="25"/>
  <c r="B74" i="24"/>
  <c r="B74" i="23"/>
  <c r="B74" i="22"/>
  <c r="B24" i="24"/>
  <c r="B24" i="25"/>
  <c r="B24" i="22"/>
  <c r="B80" i="22"/>
  <c r="B24" i="23"/>
  <c r="B80" i="24"/>
  <c r="B80" i="23"/>
  <c r="B80" i="25"/>
  <c r="B86" i="7"/>
  <c r="C113" i="7" s="1"/>
  <c r="D113" i="7" s="1"/>
  <c r="E113" i="7" s="1"/>
  <c r="F113" i="7" s="1"/>
  <c r="G113" i="7" s="1"/>
  <c r="H113" i="7" s="1"/>
  <c r="I113" i="7" s="1"/>
  <c r="J113" i="7" s="1"/>
  <c r="K113" i="7" s="1"/>
  <c r="B85" i="7"/>
  <c r="G7" i="4"/>
  <c r="B30" i="7"/>
  <c r="L30" i="7" s="1"/>
  <c r="B16" i="7"/>
  <c r="B18" i="7"/>
  <c r="B72" i="7"/>
  <c r="E5" i="5"/>
  <c r="B79" i="7"/>
  <c r="B23" i="7"/>
  <c r="B80" i="7"/>
  <c r="B24" i="7"/>
  <c r="B81" i="7"/>
  <c r="B71" i="7"/>
  <c r="F5" i="5"/>
  <c r="B75" i="7"/>
  <c r="B19" i="7"/>
  <c r="B25" i="7"/>
  <c r="B74" i="7"/>
  <c r="B73" i="7"/>
  <c r="B17" i="7"/>
  <c r="G5" i="5"/>
  <c r="K5" i="5" s="1"/>
  <c r="B29" i="7"/>
  <c r="B78" i="7"/>
  <c r="C105" i="7" s="1"/>
  <c r="D105" i="7" s="1"/>
  <c r="E105" i="7" s="1"/>
  <c r="F105" i="7" s="1"/>
  <c r="G105" i="7" s="1"/>
  <c r="H105" i="7" s="1"/>
  <c r="I105" i="7" s="1"/>
  <c r="J105" i="7" s="1"/>
  <c r="K105" i="7" s="1"/>
  <c r="B22" i="7"/>
  <c r="C49" i="7" s="1"/>
  <c r="D49" i="7" s="1"/>
  <c r="E49" i="7" s="1"/>
  <c r="F49" i="7" s="1"/>
  <c r="G49" i="7" s="1"/>
  <c r="H49" i="7" s="1"/>
  <c r="I49" i="7" s="1"/>
  <c r="J49" i="7" s="1"/>
  <c r="K49" i="7" s="1"/>
  <c r="G10" i="4"/>
  <c r="D5" i="5"/>
  <c r="B26" i="7"/>
  <c r="B82" i="7"/>
  <c r="C107" i="24" l="1"/>
  <c r="L80" i="24"/>
  <c r="L74" i="23"/>
  <c r="C101" i="23"/>
  <c r="C44" i="23"/>
  <c r="L17" i="23"/>
  <c r="C96" i="25"/>
  <c r="B89" i="25"/>
  <c r="L89" i="25" s="1"/>
  <c r="C42" i="25"/>
  <c r="L15" i="25"/>
  <c r="B20" i="25"/>
  <c r="L20" i="25" s="1"/>
  <c r="C40" i="25"/>
  <c r="B33" i="25"/>
  <c r="L33" i="25" s="1"/>
  <c r="B88" i="25"/>
  <c r="L88" i="25" s="1"/>
  <c r="B32" i="25"/>
  <c r="L32" i="25" s="1"/>
  <c r="C106" i="22"/>
  <c r="L79" i="22"/>
  <c r="C57" i="23"/>
  <c r="L30" i="23"/>
  <c r="L85" i="23"/>
  <c r="C112" i="23"/>
  <c r="B27" i="23"/>
  <c r="L27" i="23" s="1"/>
  <c r="C49" i="23"/>
  <c r="L22" i="23"/>
  <c r="L25" i="22"/>
  <c r="C52" i="22"/>
  <c r="C51" i="23"/>
  <c r="L24" i="23"/>
  <c r="C101" i="24"/>
  <c r="L74" i="24"/>
  <c r="L17" i="25"/>
  <c r="C44" i="25"/>
  <c r="L71" i="23"/>
  <c r="B76" i="23"/>
  <c r="L76" i="23" s="1"/>
  <c r="C98" i="23"/>
  <c r="C50" i="22"/>
  <c r="L23" i="22"/>
  <c r="C112" i="25"/>
  <c r="L85" i="25"/>
  <c r="C56" i="24"/>
  <c r="L29" i="24"/>
  <c r="C49" i="25"/>
  <c r="L22" i="25"/>
  <c r="B27" i="25"/>
  <c r="L27" i="25" s="1"/>
  <c r="C52" i="23"/>
  <c r="L25" i="23"/>
  <c r="L17" i="22"/>
  <c r="C44" i="22"/>
  <c r="B76" i="25"/>
  <c r="L76" i="25" s="1"/>
  <c r="C98" i="25"/>
  <c r="L71" i="25"/>
  <c r="C106" i="23"/>
  <c r="L79" i="23"/>
  <c r="C57" i="22"/>
  <c r="L30" i="22"/>
  <c r="C56" i="25"/>
  <c r="L29" i="25"/>
  <c r="B83" i="25"/>
  <c r="L83" i="25" s="1"/>
  <c r="C105" i="25"/>
  <c r="L78" i="25"/>
  <c r="C108" i="24"/>
  <c r="L81" i="24"/>
  <c r="C51" i="22"/>
  <c r="L24" i="22"/>
  <c r="C45" i="22"/>
  <c r="L18" i="22"/>
  <c r="L73" i="23"/>
  <c r="C100" i="23"/>
  <c r="B76" i="24"/>
  <c r="L76" i="24" s="1"/>
  <c r="C98" i="24"/>
  <c r="L71" i="24"/>
  <c r="C50" i="23"/>
  <c r="L23" i="23"/>
  <c r="C112" i="24"/>
  <c r="L85" i="24"/>
  <c r="C113" i="25"/>
  <c r="L86" i="25"/>
  <c r="B83" i="23"/>
  <c r="L83" i="23" s="1"/>
  <c r="C105" i="23"/>
  <c r="L78" i="23"/>
  <c r="C108" i="22"/>
  <c r="L81" i="22"/>
  <c r="C101" i="25"/>
  <c r="L74" i="25"/>
  <c r="L18" i="23"/>
  <c r="C45" i="23"/>
  <c r="C106" i="25"/>
  <c r="L79" i="25"/>
  <c r="C113" i="23"/>
  <c r="L86" i="23"/>
  <c r="C51" i="24"/>
  <c r="L24" i="24"/>
  <c r="B88" i="24"/>
  <c r="L88" i="24" s="1"/>
  <c r="L18" i="24"/>
  <c r="C45" i="24"/>
  <c r="L73" i="24"/>
  <c r="C100" i="24"/>
  <c r="C42" i="24"/>
  <c r="B89" i="24"/>
  <c r="L89" i="24" s="1"/>
  <c r="L15" i="24"/>
  <c r="B32" i="24"/>
  <c r="L32" i="24" s="1"/>
  <c r="C40" i="24"/>
  <c r="C96" i="24"/>
  <c r="B33" i="24"/>
  <c r="L33" i="24" s="1"/>
  <c r="B20" i="24"/>
  <c r="L20" i="24" s="1"/>
  <c r="L23" i="24"/>
  <c r="C50" i="24"/>
  <c r="C112" i="22"/>
  <c r="L85" i="22"/>
  <c r="C57" i="24"/>
  <c r="L30" i="24"/>
  <c r="B83" i="22"/>
  <c r="L83" i="22" s="1"/>
  <c r="L78" i="22"/>
  <c r="C105" i="22"/>
  <c r="C108" i="25"/>
  <c r="L81" i="25"/>
  <c r="L73" i="22"/>
  <c r="C100" i="22"/>
  <c r="L86" i="22"/>
  <c r="C113" i="22"/>
  <c r="C108" i="23"/>
  <c r="L81" i="23"/>
  <c r="C107" i="25"/>
  <c r="L80" i="25"/>
  <c r="C45" i="25"/>
  <c r="L18" i="25"/>
  <c r="C44" i="24"/>
  <c r="L17" i="24"/>
  <c r="C42" i="22"/>
  <c r="L15" i="22"/>
  <c r="B33" i="22"/>
  <c r="L33" i="22" s="1"/>
  <c r="B32" i="22"/>
  <c r="L32" i="22" s="1"/>
  <c r="B89" i="22"/>
  <c r="L89" i="22" s="1"/>
  <c r="C40" i="22"/>
  <c r="B88" i="22"/>
  <c r="L88" i="22" s="1"/>
  <c r="B20" i="22"/>
  <c r="L20" i="22" s="1"/>
  <c r="C96" i="22"/>
  <c r="C106" i="24"/>
  <c r="L79" i="24"/>
  <c r="L86" i="24"/>
  <c r="C113" i="24"/>
  <c r="C57" i="25"/>
  <c r="L30" i="25"/>
  <c r="L22" i="22"/>
  <c r="B27" i="22"/>
  <c r="L27" i="22" s="1"/>
  <c r="C49" i="22"/>
  <c r="C52" i="25"/>
  <c r="L25" i="25"/>
  <c r="C107" i="22"/>
  <c r="L80" i="22"/>
  <c r="C51" i="25"/>
  <c r="L24" i="25"/>
  <c r="B76" i="22"/>
  <c r="L76" i="22" s="1"/>
  <c r="C98" i="22"/>
  <c r="L71" i="22"/>
  <c r="L78" i="24"/>
  <c r="C105" i="24"/>
  <c r="B83" i="24"/>
  <c r="L83" i="24" s="1"/>
  <c r="C107" i="23"/>
  <c r="L80" i="23"/>
  <c r="C101" i="22"/>
  <c r="L74" i="22"/>
  <c r="C100" i="25"/>
  <c r="L73" i="25"/>
  <c r="B89" i="23"/>
  <c r="L89" i="23" s="1"/>
  <c r="C96" i="23"/>
  <c r="C40" i="23"/>
  <c r="B33" i="23"/>
  <c r="L33" i="23" s="1"/>
  <c r="L15" i="23"/>
  <c r="B88" i="23"/>
  <c r="L88" i="23" s="1"/>
  <c r="C42" i="23"/>
  <c r="B20" i="23"/>
  <c r="L20" i="23" s="1"/>
  <c r="B32" i="23"/>
  <c r="L32" i="23" s="1"/>
  <c r="C50" i="25"/>
  <c r="L23" i="25"/>
  <c r="C56" i="22"/>
  <c r="L29" i="22"/>
  <c r="C56" i="23"/>
  <c r="L29" i="23"/>
  <c r="C49" i="24"/>
  <c r="L22" i="24"/>
  <c r="B27" i="24"/>
  <c r="L27" i="24" s="1"/>
  <c r="L25" i="24"/>
  <c r="C52" i="24"/>
  <c r="H5" i="5"/>
  <c r="L86" i="7"/>
  <c r="L82" i="7"/>
  <c r="C109" i="7"/>
  <c r="D109" i="7" s="1"/>
  <c r="E109" i="7" s="1"/>
  <c r="F109" i="7" s="1"/>
  <c r="G109" i="7" s="1"/>
  <c r="H109" i="7" s="1"/>
  <c r="I109" i="7" s="1"/>
  <c r="J109" i="7" s="1"/>
  <c r="K109" i="7" s="1"/>
  <c r="L73" i="7"/>
  <c r="C100" i="7"/>
  <c r="D100" i="7" s="1"/>
  <c r="E100" i="7" s="1"/>
  <c r="F100" i="7" s="1"/>
  <c r="G100" i="7" s="1"/>
  <c r="H100" i="7" s="1"/>
  <c r="I100" i="7" s="1"/>
  <c r="J100" i="7" s="1"/>
  <c r="K100" i="7" s="1"/>
  <c r="L79" i="7"/>
  <c r="C106" i="7"/>
  <c r="D106" i="7" s="1"/>
  <c r="E106" i="7" s="1"/>
  <c r="F106" i="7" s="1"/>
  <c r="G106" i="7" s="1"/>
  <c r="H106" i="7" s="1"/>
  <c r="I106" i="7" s="1"/>
  <c r="J106" i="7" s="1"/>
  <c r="K106" i="7" s="1"/>
  <c r="L26" i="7"/>
  <c r="C53" i="7"/>
  <c r="D53" i="7" s="1"/>
  <c r="E53" i="7" s="1"/>
  <c r="F53" i="7" s="1"/>
  <c r="G53" i="7" s="1"/>
  <c r="H53" i="7" s="1"/>
  <c r="I53" i="7" s="1"/>
  <c r="J53" i="7" s="1"/>
  <c r="K53" i="7" s="1"/>
  <c r="L24" i="7"/>
  <c r="C51" i="7"/>
  <c r="D51" i="7" s="1"/>
  <c r="E51" i="7" s="1"/>
  <c r="F51" i="7" s="1"/>
  <c r="G51" i="7" s="1"/>
  <c r="H51" i="7" s="1"/>
  <c r="I51" i="7" s="1"/>
  <c r="J51" i="7" s="1"/>
  <c r="K51" i="7" s="1"/>
  <c r="L74" i="7"/>
  <c r="C101" i="7"/>
  <c r="D101" i="7" s="1"/>
  <c r="E101" i="7" s="1"/>
  <c r="F101" i="7" s="1"/>
  <c r="G101" i="7" s="1"/>
  <c r="H101" i="7" s="1"/>
  <c r="I101" i="7" s="1"/>
  <c r="J101" i="7" s="1"/>
  <c r="K101" i="7" s="1"/>
  <c r="J5" i="5"/>
  <c r="L80" i="7"/>
  <c r="C107" i="7"/>
  <c r="D107" i="7" s="1"/>
  <c r="E107" i="7" s="1"/>
  <c r="F107" i="7" s="1"/>
  <c r="G107" i="7" s="1"/>
  <c r="H107" i="7" s="1"/>
  <c r="I107" i="7" s="1"/>
  <c r="J107" i="7" s="1"/>
  <c r="K107" i="7" s="1"/>
  <c r="L72" i="7"/>
  <c r="C99" i="7"/>
  <c r="D99" i="7" s="1"/>
  <c r="E99" i="7" s="1"/>
  <c r="F99" i="7" s="1"/>
  <c r="G99" i="7" s="1"/>
  <c r="H99" i="7" s="1"/>
  <c r="I99" i="7" s="1"/>
  <c r="J99" i="7" s="1"/>
  <c r="K99" i="7" s="1"/>
  <c r="L75" i="7"/>
  <c r="C102" i="7"/>
  <c r="D102" i="7" s="1"/>
  <c r="E102" i="7" s="1"/>
  <c r="F102" i="7" s="1"/>
  <c r="G102" i="7" s="1"/>
  <c r="H102" i="7" s="1"/>
  <c r="I102" i="7" s="1"/>
  <c r="J102" i="7" s="1"/>
  <c r="K102" i="7" s="1"/>
  <c r="L25" i="7"/>
  <c r="C52" i="7"/>
  <c r="D52" i="7" s="1"/>
  <c r="E52" i="7" s="1"/>
  <c r="F52" i="7" s="1"/>
  <c r="G52" i="7" s="1"/>
  <c r="H52" i="7" s="1"/>
  <c r="I52" i="7" s="1"/>
  <c r="J52" i="7" s="1"/>
  <c r="K52" i="7" s="1"/>
  <c r="C98" i="7"/>
  <c r="D98" i="7" s="1"/>
  <c r="E98" i="7" s="1"/>
  <c r="F98" i="7" s="1"/>
  <c r="G98" i="7" s="1"/>
  <c r="H98" i="7" s="1"/>
  <c r="I98" i="7" s="1"/>
  <c r="J98" i="7" s="1"/>
  <c r="K98" i="7" s="1"/>
  <c r="L18" i="7"/>
  <c r="C45" i="7"/>
  <c r="D45" i="7" s="1"/>
  <c r="E45" i="7" s="1"/>
  <c r="F45" i="7" s="1"/>
  <c r="G45" i="7" s="1"/>
  <c r="H45" i="7" s="1"/>
  <c r="I45" i="7" s="1"/>
  <c r="J45" i="7" s="1"/>
  <c r="K45" i="7" s="1"/>
  <c r="L17" i="7"/>
  <c r="C44" i="7"/>
  <c r="D44" i="7" s="1"/>
  <c r="E44" i="7" s="1"/>
  <c r="F44" i="7" s="1"/>
  <c r="G44" i="7" s="1"/>
  <c r="H44" i="7" s="1"/>
  <c r="I44" i="7" s="1"/>
  <c r="J44" i="7" s="1"/>
  <c r="K44" i="7" s="1"/>
  <c r="L19" i="7"/>
  <c r="C46" i="7"/>
  <c r="D46" i="7" s="1"/>
  <c r="E46" i="7" s="1"/>
  <c r="F46" i="7" s="1"/>
  <c r="G46" i="7" s="1"/>
  <c r="H46" i="7" s="1"/>
  <c r="I46" i="7" s="1"/>
  <c r="J46" i="7" s="1"/>
  <c r="K46" i="7" s="1"/>
  <c r="L81" i="7"/>
  <c r="C108" i="7"/>
  <c r="D108" i="7" s="1"/>
  <c r="E108" i="7" s="1"/>
  <c r="F108" i="7" s="1"/>
  <c r="G108" i="7" s="1"/>
  <c r="H108" i="7" s="1"/>
  <c r="I108" i="7" s="1"/>
  <c r="J108" i="7" s="1"/>
  <c r="K108" i="7" s="1"/>
  <c r="L23" i="7"/>
  <c r="C50" i="7"/>
  <c r="D50" i="7" s="1"/>
  <c r="E50" i="7" s="1"/>
  <c r="F50" i="7" s="1"/>
  <c r="G50" i="7" s="1"/>
  <c r="H50" i="7" s="1"/>
  <c r="I50" i="7" s="1"/>
  <c r="J50" i="7" s="1"/>
  <c r="K50" i="7" s="1"/>
  <c r="L16" i="7"/>
  <c r="C43" i="7"/>
  <c r="D43" i="7" s="1"/>
  <c r="E43" i="7" s="1"/>
  <c r="F43" i="7" s="1"/>
  <c r="G43" i="7" s="1"/>
  <c r="H43" i="7" s="1"/>
  <c r="I43" i="7" s="1"/>
  <c r="J43" i="7" s="1"/>
  <c r="K43" i="7" s="1"/>
  <c r="C57" i="7"/>
  <c r="D57" i="7" s="1"/>
  <c r="E57" i="7" s="1"/>
  <c r="F57" i="7" s="1"/>
  <c r="G57" i="7" s="1"/>
  <c r="H57" i="7" s="1"/>
  <c r="I57" i="7" s="1"/>
  <c r="J57" i="7" s="1"/>
  <c r="K57" i="7" s="1"/>
  <c r="C40" i="7"/>
  <c r="D40" i="7" s="1"/>
  <c r="E40" i="7" s="1"/>
  <c r="F40" i="7" s="1"/>
  <c r="G40" i="7" s="1"/>
  <c r="H40" i="7" s="1"/>
  <c r="I40" i="7" s="1"/>
  <c r="J40" i="7" s="1"/>
  <c r="K40" i="7" s="1"/>
  <c r="I5" i="5"/>
  <c r="L85" i="7"/>
  <c r="C112" i="7"/>
  <c r="D112" i="7" s="1"/>
  <c r="E112" i="7" s="1"/>
  <c r="F112" i="7" s="1"/>
  <c r="G112" i="7" s="1"/>
  <c r="H112" i="7" s="1"/>
  <c r="I112" i="7" s="1"/>
  <c r="J112" i="7" s="1"/>
  <c r="K112" i="7" s="1"/>
  <c r="L22" i="7"/>
  <c r="B27" i="7"/>
  <c r="L27" i="7" s="1"/>
  <c r="C96" i="7"/>
  <c r="D96" i="7" s="1"/>
  <c r="E96" i="7" s="1"/>
  <c r="F96" i="7" s="1"/>
  <c r="G96" i="7" s="1"/>
  <c r="H96" i="7" s="1"/>
  <c r="I96" i="7" s="1"/>
  <c r="J96" i="7" s="1"/>
  <c r="K96" i="7" s="1"/>
  <c r="B89" i="7"/>
  <c r="L89" i="7" s="1"/>
  <c r="L15" i="7"/>
  <c r="B33" i="7"/>
  <c r="L33" i="7" s="1"/>
  <c r="B88" i="7"/>
  <c r="L88" i="7" s="1"/>
  <c r="B32" i="7"/>
  <c r="L32" i="7" s="1"/>
  <c r="B20" i="7"/>
  <c r="L20" i="7" s="1"/>
  <c r="L71" i="7"/>
  <c r="B76" i="7"/>
  <c r="L76" i="7" s="1"/>
  <c r="L49" i="7"/>
  <c r="C56" i="7"/>
  <c r="D56" i="7" s="1"/>
  <c r="E56" i="7" s="1"/>
  <c r="F56" i="7" s="1"/>
  <c r="G56" i="7" s="1"/>
  <c r="H56" i="7" s="1"/>
  <c r="I56" i="7" s="1"/>
  <c r="J56" i="7" s="1"/>
  <c r="K56" i="7" s="1"/>
  <c r="L29" i="7"/>
  <c r="B83" i="7"/>
  <c r="L83" i="7" s="1"/>
  <c r="L78" i="7"/>
  <c r="L42" i="7"/>
  <c r="L105" i="7"/>
  <c r="B94" i="24" l="1"/>
  <c r="L94" i="24" s="1"/>
  <c r="B38" i="24"/>
  <c r="L38" i="24" s="1"/>
  <c r="B38" i="23"/>
  <c r="L38" i="23" s="1"/>
  <c r="D52" i="24"/>
  <c r="E52" i="24" s="1"/>
  <c r="F52" i="24" s="1"/>
  <c r="G52" i="24" s="1"/>
  <c r="H52" i="24" s="1"/>
  <c r="I52" i="24" s="1"/>
  <c r="J52" i="24" s="1"/>
  <c r="K52" i="24" s="1"/>
  <c r="D40" i="24"/>
  <c r="E40" i="24" s="1"/>
  <c r="F40" i="24" s="1"/>
  <c r="G40" i="24" s="1"/>
  <c r="H40" i="24" s="1"/>
  <c r="I40" i="24" s="1"/>
  <c r="J40" i="24" s="1"/>
  <c r="K40" i="24" s="1"/>
  <c r="L40" i="24"/>
  <c r="D106" i="25"/>
  <c r="E106" i="25" s="1"/>
  <c r="F106" i="25" s="1"/>
  <c r="G106" i="25" s="1"/>
  <c r="H106" i="25" s="1"/>
  <c r="I106" i="25" s="1"/>
  <c r="J106" i="25" s="1"/>
  <c r="K106" i="25" s="1"/>
  <c r="D52" i="23"/>
  <c r="E52" i="23" s="1"/>
  <c r="F52" i="23" s="1"/>
  <c r="G52" i="23" s="1"/>
  <c r="H52" i="23" s="1"/>
  <c r="I52" i="23" s="1"/>
  <c r="J52" i="23" s="1"/>
  <c r="K52" i="23" s="1"/>
  <c r="D96" i="25"/>
  <c r="E96" i="25" s="1"/>
  <c r="F96" i="25" s="1"/>
  <c r="G96" i="25" s="1"/>
  <c r="H96" i="25" s="1"/>
  <c r="I96" i="25" s="1"/>
  <c r="J96" i="25" s="1"/>
  <c r="K96" i="25" s="1"/>
  <c r="D56" i="22"/>
  <c r="E56" i="22" s="1"/>
  <c r="F56" i="22" s="1"/>
  <c r="G56" i="22" s="1"/>
  <c r="H56" i="22" s="1"/>
  <c r="I56" i="22" s="1"/>
  <c r="J56" i="22" s="1"/>
  <c r="K56" i="22" s="1"/>
  <c r="C103" i="22"/>
  <c r="D98" i="22"/>
  <c r="E98" i="22" s="1"/>
  <c r="F98" i="22" s="1"/>
  <c r="G98" i="22" s="1"/>
  <c r="H98" i="22" s="1"/>
  <c r="I98" i="22" s="1"/>
  <c r="J98" i="22" s="1"/>
  <c r="K98" i="22" s="1"/>
  <c r="D49" i="22"/>
  <c r="E49" i="22" s="1"/>
  <c r="F49" i="22" s="1"/>
  <c r="G49" i="22" s="1"/>
  <c r="H49" i="22" s="1"/>
  <c r="I49" i="22" s="1"/>
  <c r="J49" i="22" s="1"/>
  <c r="K49" i="22" s="1"/>
  <c r="C54" i="22"/>
  <c r="D106" i="24"/>
  <c r="E106" i="24" s="1"/>
  <c r="F106" i="24" s="1"/>
  <c r="G106" i="24" s="1"/>
  <c r="H106" i="24" s="1"/>
  <c r="I106" i="24" s="1"/>
  <c r="J106" i="24" s="1"/>
  <c r="K106" i="24" s="1"/>
  <c r="D112" i="22"/>
  <c r="E112" i="22" s="1"/>
  <c r="F112" i="22" s="1"/>
  <c r="G112" i="22" s="1"/>
  <c r="H112" i="22" s="1"/>
  <c r="I112" i="22" s="1"/>
  <c r="J112" i="22" s="1"/>
  <c r="K112" i="22" s="1"/>
  <c r="D51" i="22"/>
  <c r="E51" i="22" s="1"/>
  <c r="F51" i="22" s="1"/>
  <c r="G51" i="22" s="1"/>
  <c r="H51" i="22" s="1"/>
  <c r="I51" i="22" s="1"/>
  <c r="J51" i="22" s="1"/>
  <c r="K51" i="22" s="1"/>
  <c r="D44" i="22"/>
  <c r="E44" i="22" s="1"/>
  <c r="F44" i="22" s="1"/>
  <c r="G44" i="22" s="1"/>
  <c r="H44" i="22" s="1"/>
  <c r="I44" i="22" s="1"/>
  <c r="J44" i="22" s="1"/>
  <c r="K44" i="22" s="1"/>
  <c r="D50" i="22"/>
  <c r="E50" i="22" s="1"/>
  <c r="F50" i="22" s="1"/>
  <c r="G50" i="22" s="1"/>
  <c r="H50" i="22" s="1"/>
  <c r="I50" i="22" s="1"/>
  <c r="J50" i="22" s="1"/>
  <c r="K50" i="22" s="1"/>
  <c r="D101" i="24"/>
  <c r="E101" i="24" s="1"/>
  <c r="F101" i="24" s="1"/>
  <c r="G101" i="24" s="1"/>
  <c r="H101" i="24" s="1"/>
  <c r="I101" i="24" s="1"/>
  <c r="J101" i="24" s="1"/>
  <c r="K101" i="24" s="1"/>
  <c r="L101" i="24" s="1"/>
  <c r="B38" i="22"/>
  <c r="L38" i="22" s="1"/>
  <c r="D107" i="25"/>
  <c r="E107" i="25" s="1"/>
  <c r="F107" i="25" s="1"/>
  <c r="G107" i="25" s="1"/>
  <c r="H107" i="25" s="1"/>
  <c r="I107" i="25" s="1"/>
  <c r="J107" i="25" s="1"/>
  <c r="K107" i="25" s="1"/>
  <c r="D108" i="25"/>
  <c r="E108" i="25" s="1"/>
  <c r="F108" i="25" s="1"/>
  <c r="G108" i="25" s="1"/>
  <c r="H108" i="25" s="1"/>
  <c r="I108" i="25" s="1"/>
  <c r="J108" i="25" s="1"/>
  <c r="K108" i="25" s="1"/>
  <c r="D50" i="24"/>
  <c r="E50" i="24" s="1"/>
  <c r="F50" i="24" s="1"/>
  <c r="G50" i="24" s="1"/>
  <c r="H50" i="24" s="1"/>
  <c r="I50" i="24" s="1"/>
  <c r="J50" i="24" s="1"/>
  <c r="K50" i="24" s="1"/>
  <c r="C103" i="24"/>
  <c r="D98" i="24"/>
  <c r="E98" i="24" s="1"/>
  <c r="F98" i="24" s="1"/>
  <c r="G98" i="24" s="1"/>
  <c r="H98" i="24" s="1"/>
  <c r="I98" i="24" s="1"/>
  <c r="J98" i="24" s="1"/>
  <c r="K98" i="24" s="1"/>
  <c r="D57" i="22"/>
  <c r="E57" i="22" s="1"/>
  <c r="F57" i="22" s="1"/>
  <c r="G57" i="22" s="1"/>
  <c r="H57" i="22" s="1"/>
  <c r="I57" i="22" s="1"/>
  <c r="J57" i="22" s="1"/>
  <c r="K57" i="22" s="1"/>
  <c r="C103" i="23"/>
  <c r="D98" i="23"/>
  <c r="E98" i="23" s="1"/>
  <c r="F98" i="23" s="1"/>
  <c r="G98" i="23" s="1"/>
  <c r="H98" i="23" s="1"/>
  <c r="I98" i="23" s="1"/>
  <c r="J98" i="23" s="1"/>
  <c r="K98" i="23" s="1"/>
  <c r="D44" i="23"/>
  <c r="E44" i="23" s="1"/>
  <c r="F44" i="23" s="1"/>
  <c r="G44" i="23" s="1"/>
  <c r="H44" i="23" s="1"/>
  <c r="I44" i="23" s="1"/>
  <c r="J44" i="23" s="1"/>
  <c r="K44" i="23" s="1"/>
  <c r="D101" i="22"/>
  <c r="E101" i="22" s="1"/>
  <c r="F101" i="22" s="1"/>
  <c r="G101" i="22" s="1"/>
  <c r="H101" i="22" s="1"/>
  <c r="I101" i="22" s="1"/>
  <c r="J101" i="22" s="1"/>
  <c r="K101" i="22" s="1"/>
  <c r="D45" i="23"/>
  <c r="E45" i="23" s="1"/>
  <c r="F45" i="23" s="1"/>
  <c r="G45" i="23" s="1"/>
  <c r="H45" i="23" s="1"/>
  <c r="I45" i="23" s="1"/>
  <c r="J45" i="23" s="1"/>
  <c r="K45" i="23" s="1"/>
  <c r="D112" i="23"/>
  <c r="E112" i="23" s="1"/>
  <c r="F112" i="23" s="1"/>
  <c r="G112" i="23" s="1"/>
  <c r="H112" i="23" s="1"/>
  <c r="I112" i="23" s="1"/>
  <c r="J112" i="23" s="1"/>
  <c r="K112" i="23" s="1"/>
  <c r="L45" i="7"/>
  <c r="D50" i="25"/>
  <c r="E50" i="25" s="1"/>
  <c r="F50" i="25" s="1"/>
  <c r="G50" i="25" s="1"/>
  <c r="H50" i="25" s="1"/>
  <c r="I50" i="25" s="1"/>
  <c r="J50" i="25" s="1"/>
  <c r="K50" i="25" s="1"/>
  <c r="D40" i="23"/>
  <c r="E40" i="23" s="1"/>
  <c r="F40" i="23" s="1"/>
  <c r="G40" i="23" s="1"/>
  <c r="H40" i="23" s="1"/>
  <c r="I40" i="23" s="1"/>
  <c r="J40" i="23" s="1"/>
  <c r="K40" i="23" s="1"/>
  <c r="D107" i="23"/>
  <c r="E107" i="23" s="1"/>
  <c r="F107" i="23" s="1"/>
  <c r="G107" i="23" s="1"/>
  <c r="H107" i="23" s="1"/>
  <c r="I107" i="23" s="1"/>
  <c r="J107" i="23" s="1"/>
  <c r="K107" i="23" s="1"/>
  <c r="D96" i="22"/>
  <c r="E96" i="22" s="1"/>
  <c r="F96" i="22" s="1"/>
  <c r="G96" i="22" s="1"/>
  <c r="H96" i="22" s="1"/>
  <c r="I96" i="22" s="1"/>
  <c r="J96" i="22" s="1"/>
  <c r="K96" i="22" s="1"/>
  <c r="D42" i="22"/>
  <c r="E42" i="22" s="1"/>
  <c r="F42" i="22" s="1"/>
  <c r="G42" i="22" s="1"/>
  <c r="H42" i="22" s="1"/>
  <c r="I42" i="22" s="1"/>
  <c r="J42" i="22" s="1"/>
  <c r="K42" i="22" s="1"/>
  <c r="C47" i="22"/>
  <c r="C110" i="22"/>
  <c r="D105" i="22"/>
  <c r="E105" i="22" s="1"/>
  <c r="F105" i="22" s="1"/>
  <c r="G105" i="22" s="1"/>
  <c r="H105" i="22" s="1"/>
  <c r="I105" i="22" s="1"/>
  <c r="J105" i="22" s="1"/>
  <c r="K105" i="22" s="1"/>
  <c r="D51" i="24"/>
  <c r="E51" i="24" s="1"/>
  <c r="F51" i="24" s="1"/>
  <c r="G51" i="24" s="1"/>
  <c r="H51" i="24" s="1"/>
  <c r="I51" i="24" s="1"/>
  <c r="J51" i="24" s="1"/>
  <c r="K51" i="24" s="1"/>
  <c r="D113" i="25"/>
  <c r="E113" i="25" s="1"/>
  <c r="F113" i="25" s="1"/>
  <c r="G113" i="25" s="1"/>
  <c r="H113" i="25" s="1"/>
  <c r="I113" i="25" s="1"/>
  <c r="J113" i="25" s="1"/>
  <c r="K113" i="25" s="1"/>
  <c r="D108" i="24"/>
  <c r="E108" i="24" s="1"/>
  <c r="F108" i="24" s="1"/>
  <c r="G108" i="24" s="1"/>
  <c r="H108" i="24" s="1"/>
  <c r="I108" i="24" s="1"/>
  <c r="J108" i="24" s="1"/>
  <c r="K108" i="24" s="1"/>
  <c r="C54" i="25"/>
  <c r="D49" i="25"/>
  <c r="E49" i="25" s="1"/>
  <c r="F49" i="25" s="1"/>
  <c r="G49" i="25" s="1"/>
  <c r="H49" i="25" s="1"/>
  <c r="I49" i="25" s="1"/>
  <c r="J49" i="25" s="1"/>
  <c r="K49" i="25" s="1"/>
  <c r="D51" i="23"/>
  <c r="E51" i="23" s="1"/>
  <c r="F51" i="23" s="1"/>
  <c r="G51" i="23" s="1"/>
  <c r="H51" i="23" s="1"/>
  <c r="I51" i="23" s="1"/>
  <c r="J51" i="23" s="1"/>
  <c r="K51" i="23" s="1"/>
  <c r="D40" i="25"/>
  <c r="E40" i="25" s="1"/>
  <c r="F40" i="25" s="1"/>
  <c r="G40" i="25" s="1"/>
  <c r="H40" i="25" s="1"/>
  <c r="I40" i="25" s="1"/>
  <c r="J40" i="25" s="1"/>
  <c r="K40" i="25" s="1"/>
  <c r="D101" i="23"/>
  <c r="E101" i="23" s="1"/>
  <c r="F101" i="23" s="1"/>
  <c r="G101" i="23" s="1"/>
  <c r="H101" i="23" s="1"/>
  <c r="I101" i="23" s="1"/>
  <c r="J101" i="23" s="1"/>
  <c r="K101" i="23" s="1"/>
  <c r="D49" i="24"/>
  <c r="E49" i="24" s="1"/>
  <c r="F49" i="24" s="1"/>
  <c r="G49" i="24" s="1"/>
  <c r="H49" i="24" s="1"/>
  <c r="I49" i="24" s="1"/>
  <c r="J49" i="24" s="1"/>
  <c r="K49" i="24" s="1"/>
  <c r="C54" i="24"/>
  <c r="D96" i="23"/>
  <c r="E96" i="23" s="1"/>
  <c r="F96" i="23" s="1"/>
  <c r="G96" i="23" s="1"/>
  <c r="H96" i="23" s="1"/>
  <c r="I96" i="23" s="1"/>
  <c r="J96" i="23" s="1"/>
  <c r="K96" i="23" s="1"/>
  <c r="D106" i="23"/>
  <c r="E106" i="23" s="1"/>
  <c r="F106" i="23" s="1"/>
  <c r="G106" i="23" s="1"/>
  <c r="H106" i="23" s="1"/>
  <c r="I106" i="23" s="1"/>
  <c r="J106" i="23" s="1"/>
  <c r="K106" i="23" s="1"/>
  <c r="D51" i="25"/>
  <c r="E51" i="25" s="1"/>
  <c r="F51" i="25" s="1"/>
  <c r="G51" i="25" s="1"/>
  <c r="H51" i="25" s="1"/>
  <c r="I51" i="25" s="1"/>
  <c r="J51" i="25" s="1"/>
  <c r="K51" i="25" s="1"/>
  <c r="D108" i="23"/>
  <c r="E108" i="23" s="1"/>
  <c r="F108" i="23" s="1"/>
  <c r="G108" i="23" s="1"/>
  <c r="H108" i="23" s="1"/>
  <c r="I108" i="23" s="1"/>
  <c r="J108" i="23" s="1"/>
  <c r="K108" i="23" s="1"/>
  <c r="D42" i="24"/>
  <c r="E42" i="24" s="1"/>
  <c r="F42" i="24" s="1"/>
  <c r="G42" i="24" s="1"/>
  <c r="H42" i="24" s="1"/>
  <c r="I42" i="24" s="1"/>
  <c r="J42" i="24" s="1"/>
  <c r="K42" i="24" s="1"/>
  <c r="L42" i="24" s="1"/>
  <c r="C47" i="24"/>
  <c r="D101" i="25"/>
  <c r="E101" i="25" s="1"/>
  <c r="F101" i="25" s="1"/>
  <c r="G101" i="25" s="1"/>
  <c r="H101" i="25" s="1"/>
  <c r="I101" i="25" s="1"/>
  <c r="J101" i="25" s="1"/>
  <c r="K101" i="25" s="1"/>
  <c r="D100" i="23"/>
  <c r="E100" i="23" s="1"/>
  <c r="F100" i="23" s="1"/>
  <c r="G100" i="23" s="1"/>
  <c r="H100" i="23" s="1"/>
  <c r="I100" i="23" s="1"/>
  <c r="J100" i="23" s="1"/>
  <c r="K100" i="23" s="1"/>
  <c r="B94" i="23"/>
  <c r="L94" i="23" s="1"/>
  <c r="D44" i="24"/>
  <c r="E44" i="24" s="1"/>
  <c r="F44" i="24" s="1"/>
  <c r="G44" i="24" s="1"/>
  <c r="H44" i="24" s="1"/>
  <c r="I44" i="24" s="1"/>
  <c r="J44" i="24" s="1"/>
  <c r="K44" i="24" s="1"/>
  <c r="D100" i="24"/>
  <c r="E100" i="24" s="1"/>
  <c r="F100" i="24" s="1"/>
  <c r="G100" i="24" s="1"/>
  <c r="H100" i="24" s="1"/>
  <c r="I100" i="24" s="1"/>
  <c r="J100" i="24" s="1"/>
  <c r="K100" i="24" s="1"/>
  <c r="C110" i="25"/>
  <c r="D105" i="25"/>
  <c r="E105" i="25" s="1"/>
  <c r="F105" i="25" s="1"/>
  <c r="G105" i="25" s="1"/>
  <c r="H105" i="25" s="1"/>
  <c r="I105" i="25" s="1"/>
  <c r="J105" i="25" s="1"/>
  <c r="K105" i="25" s="1"/>
  <c r="B94" i="25"/>
  <c r="L94" i="25" s="1"/>
  <c r="D56" i="24"/>
  <c r="E56" i="24" s="1"/>
  <c r="F56" i="24" s="1"/>
  <c r="G56" i="24" s="1"/>
  <c r="H56" i="24" s="1"/>
  <c r="I56" i="24" s="1"/>
  <c r="J56" i="24" s="1"/>
  <c r="K56" i="24" s="1"/>
  <c r="D107" i="22"/>
  <c r="E107" i="22" s="1"/>
  <c r="F107" i="22" s="1"/>
  <c r="G107" i="22" s="1"/>
  <c r="H107" i="22" s="1"/>
  <c r="I107" i="22" s="1"/>
  <c r="J107" i="22" s="1"/>
  <c r="K107" i="22" s="1"/>
  <c r="D113" i="24"/>
  <c r="E113" i="24" s="1"/>
  <c r="F113" i="24" s="1"/>
  <c r="G113" i="24" s="1"/>
  <c r="H113" i="24" s="1"/>
  <c r="I113" i="24" s="1"/>
  <c r="J113" i="24" s="1"/>
  <c r="K113" i="24" s="1"/>
  <c r="L113" i="24" s="1"/>
  <c r="D40" i="22"/>
  <c r="E40" i="22" s="1"/>
  <c r="F40" i="22" s="1"/>
  <c r="G40" i="22" s="1"/>
  <c r="H40" i="22" s="1"/>
  <c r="I40" i="22" s="1"/>
  <c r="J40" i="22" s="1"/>
  <c r="K40" i="22" s="1"/>
  <c r="D113" i="23"/>
  <c r="E113" i="23" s="1"/>
  <c r="F113" i="23" s="1"/>
  <c r="G113" i="23" s="1"/>
  <c r="H113" i="23" s="1"/>
  <c r="I113" i="23" s="1"/>
  <c r="J113" i="23" s="1"/>
  <c r="K113" i="23" s="1"/>
  <c r="D108" i="22"/>
  <c r="E108" i="22" s="1"/>
  <c r="F108" i="22" s="1"/>
  <c r="G108" i="22" s="1"/>
  <c r="H108" i="22" s="1"/>
  <c r="I108" i="22" s="1"/>
  <c r="J108" i="22" s="1"/>
  <c r="K108" i="22" s="1"/>
  <c r="D44" i="25"/>
  <c r="E44" i="25" s="1"/>
  <c r="F44" i="25" s="1"/>
  <c r="G44" i="25" s="1"/>
  <c r="H44" i="25" s="1"/>
  <c r="I44" i="25" s="1"/>
  <c r="J44" i="25" s="1"/>
  <c r="K44" i="25" s="1"/>
  <c r="D106" i="22"/>
  <c r="E106" i="22" s="1"/>
  <c r="F106" i="22" s="1"/>
  <c r="G106" i="22" s="1"/>
  <c r="H106" i="22" s="1"/>
  <c r="I106" i="22" s="1"/>
  <c r="J106" i="22" s="1"/>
  <c r="K106" i="22" s="1"/>
  <c r="D42" i="25"/>
  <c r="E42" i="25" s="1"/>
  <c r="F42" i="25" s="1"/>
  <c r="G42" i="25" s="1"/>
  <c r="H42" i="25" s="1"/>
  <c r="I42" i="25" s="1"/>
  <c r="J42" i="25" s="1"/>
  <c r="K42" i="25" s="1"/>
  <c r="C47" i="25"/>
  <c r="D107" i="24"/>
  <c r="E107" i="24" s="1"/>
  <c r="F107" i="24" s="1"/>
  <c r="G107" i="24" s="1"/>
  <c r="H107" i="24" s="1"/>
  <c r="I107" i="24" s="1"/>
  <c r="J107" i="24" s="1"/>
  <c r="K107" i="24" s="1"/>
  <c r="D52" i="22"/>
  <c r="E52" i="22" s="1"/>
  <c r="F52" i="22" s="1"/>
  <c r="G52" i="22" s="1"/>
  <c r="H52" i="22" s="1"/>
  <c r="I52" i="22" s="1"/>
  <c r="J52" i="22" s="1"/>
  <c r="K52" i="22" s="1"/>
  <c r="D57" i="23"/>
  <c r="E57" i="23" s="1"/>
  <c r="F57" i="23" s="1"/>
  <c r="G57" i="23" s="1"/>
  <c r="H57" i="23" s="1"/>
  <c r="I57" i="23" s="1"/>
  <c r="J57" i="23" s="1"/>
  <c r="K57" i="23" s="1"/>
  <c r="C110" i="24"/>
  <c r="D105" i="24"/>
  <c r="E105" i="24" s="1"/>
  <c r="F105" i="24" s="1"/>
  <c r="G105" i="24" s="1"/>
  <c r="H105" i="24" s="1"/>
  <c r="I105" i="24" s="1"/>
  <c r="J105" i="24" s="1"/>
  <c r="K105" i="24" s="1"/>
  <c r="D57" i="25"/>
  <c r="E57" i="25" s="1"/>
  <c r="F57" i="25" s="1"/>
  <c r="G57" i="25" s="1"/>
  <c r="H57" i="25" s="1"/>
  <c r="I57" i="25" s="1"/>
  <c r="J57" i="25" s="1"/>
  <c r="K57" i="25" s="1"/>
  <c r="D113" i="22"/>
  <c r="E113" i="22" s="1"/>
  <c r="F113" i="22" s="1"/>
  <c r="G113" i="22" s="1"/>
  <c r="H113" i="22" s="1"/>
  <c r="I113" i="22" s="1"/>
  <c r="J113" i="22" s="1"/>
  <c r="K113" i="22" s="1"/>
  <c r="D112" i="24"/>
  <c r="E112" i="24" s="1"/>
  <c r="F112" i="24" s="1"/>
  <c r="G112" i="24" s="1"/>
  <c r="H112" i="24" s="1"/>
  <c r="I112" i="24" s="1"/>
  <c r="J112" i="24" s="1"/>
  <c r="K112" i="24" s="1"/>
  <c r="D56" i="23"/>
  <c r="E56" i="23" s="1"/>
  <c r="F56" i="23" s="1"/>
  <c r="G56" i="23" s="1"/>
  <c r="H56" i="23" s="1"/>
  <c r="I56" i="23" s="1"/>
  <c r="J56" i="23" s="1"/>
  <c r="K56" i="23" s="1"/>
  <c r="C47" i="23"/>
  <c r="D42" i="23"/>
  <c r="E42" i="23" s="1"/>
  <c r="F42" i="23" s="1"/>
  <c r="G42" i="23" s="1"/>
  <c r="H42" i="23" s="1"/>
  <c r="I42" i="23" s="1"/>
  <c r="J42" i="23" s="1"/>
  <c r="K42" i="23" s="1"/>
  <c r="D100" i="25"/>
  <c r="E100" i="25" s="1"/>
  <c r="F100" i="25" s="1"/>
  <c r="G100" i="25" s="1"/>
  <c r="H100" i="25" s="1"/>
  <c r="I100" i="25" s="1"/>
  <c r="J100" i="25" s="1"/>
  <c r="K100" i="25" s="1"/>
  <c r="B94" i="22"/>
  <c r="L94" i="22" s="1"/>
  <c r="D45" i="25"/>
  <c r="E45" i="25" s="1"/>
  <c r="F45" i="25" s="1"/>
  <c r="G45" i="25" s="1"/>
  <c r="H45" i="25" s="1"/>
  <c r="I45" i="25" s="1"/>
  <c r="J45" i="25" s="1"/>
  <c r="K45" i="25" s="1"/>
  <c r="D100" i="22"/>
  <c r="E100" i="22" s="1"/>
  <c r="F100" i="22" s="1"/>
  <c r="G100" i="22" s="1"/>
  <c r="H100" i="22" s="1"/>
  <c r="I100" i="22" s="1"/>
  <c r="J100" i="22" s="1"/>
  <c r="K100" i="22" s="1"/>
  <c r="D57" i="24"/>
  <c r="E57" i="24" s="1"/>
  <c r="F57" i="24" s="1"/>
  <c r="G57" i="24" s="1"/>
  <c r="H57" i="24" s="1"/>
  <c r="I57" i="24" s="1"/>
  <c r="J57" i="24" s="1"/>
  <c r="K57" i="24" s="1"/>
  <c r="D96" i="24"/>
  <c r="E96" i="24" s="1"/>
  <c r="F96" i="24" s="1"/>
  <c r="G96" i="24" s="1"/>
  <c r="H96" i="24" s="1"/>
  <c r="I96" i="24" s="1"/>
  <c r="J96" i="24" s="1"/>
  <c r="K96" i="24" s="1"/>
  <c r="D45" i="24"/>
  <c r="E45" i="24" s="1"/>
  <c r="F45" i="24" s="1"/>
  <c r="G45" i="24" s="1"/>
  <c r="H45" i="24" s="1"/>
  <c r="I45" i="24" s="1"/>
  <c r="J45" i="24" s="1"/>
  <c r="K45" i="24" s="1"/>
  <c r="D50" i="23"/>
  <c r="E50" i="23" s="1"/>
  <c r="F50" i="23" s="1"/>
  <c r="G50" i="23" s="1"/>
  <c r="H50" i="23" s="1"/>
  <c r="I50" i="23" s="1"/>
  <c r="J50" i="23" s="1"/>
  <c r="K50" i="23" s="1"/>
  <c r="D45" i="22"/>
  <c r="E45" i="22" s="1"/>
  <c r="F45" i="22" s="1"/>
  <c r="G45" i="22" s="1"/>
  <c r="H45" i="22" s="1"/>
  <c r="I45" i="22" s="1"/>
  <c r="J45" i="22" s="1"/>
  <c r="K45" i="22" s="1"/>
  <c r="D98" i="25"/>
  <c r="E98" i="25" s="1"/>
  <c r="F98" i="25" s="1"/>
  <c r="G98" i="25" s="1"/>
  <c r="H98" i="25" s="1"/>
  <c r="I98" i="25" s="1"/>
  <c r="J98" i="25" s="1"/>
  <c r="K98" i="25" s="1"/>
  <c r="C103" i="25"/>
  <c r="D112" i="25"/>
  <c r="E112" i="25" s="1"/>
  <c r="F112" i="25" s="1"/>
  <c r="G112" i="25" s="1"/>
  <c r="H112" i="25" s="1"/>
  <c r="I112" i="25" s="1"/>
  <c r="J112" i="25" s="1"/>
  <c r="K112" i="25" s="1"/>
  <c r="D49" i="23"/>
  <c r="E49" i="23" s="1"/>
  <c r="F49" i="23" s="1"/>
  <c r="G49" i="23" s="1"/>
  <c r="H49" i="23" s="1"/>
  <c r="I49" i="23" s="1"/>
  <c r="J49" i="23" s="1"/>
  <c r="K49" i="23" s="1"/>
  <c r="C54" i="23"/>
  <c r="B38" i="25"/>
  <c r="L38" i="25" s="1"/>
  <c r="D56" i="25"/>
  <c r="E56" i="25" s="1"/>
  <c r="F56" i="25" s="1"/>
  <c r="G56" i="25" s="1"/>
  <c r="H56" i="25" s="1"/>
  <c r="I56" i="25" s="1"/>
  <c r="J56" i="25" s="1"/>
  <c r="K56" i="25" s="1"/>
  <c r="D52" i="25"/>
  <c r="E52" i="25" s="1"/>
  <c r="F52" i="25" s="1"/>
  <c r="G52" i="25" s="1"/>
  <c r="H52" i="25" s="1"/>
  <c r="I52" i="25" s="1"/>
  <c r="J52" i="25" s="1"/>
  <c r="K52" i="25" s="1"/>
  <c r="C110" i="23"/>
  <c r="D105" i="23"/>
  <c r="E105" i="23" s="1"/>
  <c r="F105" i="23" s="1"/>
  <c r="G105" i="23" s="1"/>
  <c r="H105" i="23" s="1"/>
  <c r="I105" i="23" s="1"/>
  <c r="J105" i="23" s="1"/>
  <c r="K105" i="23" s="1"/>
  <c r="L51" i="7"/>
  <c r="L44" i="7"/>
  <c r="L53" i="7"/>
  <c r="L43" i="7"/>
  <c r="L102" i="7"/>
  <c r="L109" i="7"/>
  <c r="L107" i="7"/>
  <c r="L106" i="7"/>
  <c r="C110" i="7"/>
  <c r="D110" i="7" s="1"/>
  <c r="E110" i="7" s="1"/>
  <c r="F110" i="7" s="1"/>
  <c r="G110" i="7" s="1"/>
  <c r="H110" i="7" s="1"/>
  <c r="I110" i="7" s="1"/>
  <c r="J110" i="7" s="1"/>
  <c r="K110" i="7" s="1"/>
  <c r="L108" i="7"/>
  <c r="L52" i="7"/>
  <c r="L98" i="7"/>
  <c r="L50" i="7"/>
  <c r="L101" i="7"/>
  <c r="C54" i="7"/>
  <c r="D54" i="7" s="1"/>
  <c r="E54" i="7" s="1"/>
  <c r="F54" i="7" s="1"/>
  <c r="G54" i="7" s="1"/>
  <c r="H54" i="7" s="1"/>
  <c r="I54" i="7" s="1"/>
  <c r="J54" i="7" s="1"/>
  <c r="K54" i="7" s="1"/>
  <c r="L99" i="7"/>
  <c r="L100" i="7"/>
  <c r="C103" i="7"/>
  <c r="D103" i="7" s="1"/>
  <c r="E103" i="7" s="1"/>
  <c r="F103" i="7" s="1"/>
  <c r="G103" i="7" s="1"/>
  <c r="H103" i="7" s="1"/>
  <c r="I103" i="7" s="1"/>
  <c r="J103" i="7" s="1"/>
  <c r="K103" i="7" s="1"/>
  <c r="B94" i="7"/>
  <c r="L94" i="7" s="1"/>
  <c r="C47" i="7"/>
  <c r="D47" i="7" s="1"/>
  <c r="E47" i="7" s="1"/>
  <c r="F47" i="7" s="1"/>
  <c r="G47" i="7" s="1"/>
  <c r="H47" i="7" s="1"/>
  <c r="I47" i="7" s="1"/>
  <c r="J47" i="7" s="1"/>
  <c r="K47" i="7" s="1"/>
  <c r="L46" i="7"/>
  <c r="L57" i="7"/>
  <c r="L40" i="7"/>
  <c r="B38" i="7"/>
  <c r="L38" i="7" s="1"/>
  <c r="L96" i="7"/>
  <c r="L113" i="7"/>
  <c r="L50" i="22" l="1"/>
  <c r="L57" i="22"/>
  <c r="L57" i="25"/>
  <c r="L100" i="25"/>
  <c r="L51" i="25"/>
  <c r="L40" i="22"/>
  <c r="L108" i="22"/>
  <c r="C114" i="24"/>
  <c r="L52" i="24"/>
  <c r="L100" i="23"/>
  <c r="L45" i="24"/>
  <c r="L98" i="25"/>
  <c r="L106" i="24"/>
  <c r="C114" i="22"/>
  <c r="D114" i="22" s="1"/>
  <c r="E114" i="22" s="1"/>
  <c r="F114" i="22" s="1"/>
  <c r="G114" i="22" s="1"/>
  <c r="H114" i="22" s="1"/>
  <c r="I114" i="22" s="1"/>
  <c r="J114" i="22" s="1"/>
  <c r="K114" i="22" s="1"/>
  <c r="C58" i="22"/>
  <c r="D58" i="22" s="1"/>
  <c r="E58" i="22" s="1"/>
  <c r="F58" i="22" s="1"/>
  <c r="G58" i="22" s="1"/>
  <c r="H58" i="22" s="1"/>
  <c r="I58" i="22" s="1"/>
  <c r="J58" i="22" s="1"/>
  <c r="K58" i="22" s="1"/>
  <c r="L49" i="23"/>
  <c r="L56" i="23"/>
  <c r="L106" i="22"/>
  <c r="L108" i="24"/>
  <c r="L98" i="24"/>
  <c r="C58" i="24"/>
  <c r="D58" i="24" s="1"/>
  <c r="E58" i="24" s="1"/>
  <c r="F58" i="24" s="1"/>
  <c r="G58" i="24" s="1"/>
  <c r="H58" i="24" s="1"/>
  <c r="I58" i="24" s="1"/>
  <c r="J58" i="24" s="1"/>
  <c r="K58" i="24" s="1"/>
  <c r="L105" i="23"/>
  <c r="L105" i="24"/>
  <c r="L105" i="25"/>
  <c r="L112" i="23"/>
  <c r="L45" i="22"/>
  <c r="L100" i="22"/>
  <c r="L107" i="22"/>
  <c r="L49" i="24"/>
  <c r="L96" i="22"/>
  <c r="L45" i="23"/>
  <c r="L107" i="25"/>
  <c r="L44" i="22"/>
  <c r="L52" i="25"/>
  <c r="L45" i="25"/>
  <c r="L57" i="23"/>
  <c r="L51" i="24"/>
  <c r="L51" i="22"/>
  <c r="L110" i="7"/>
  <c r="L112" i="22"/>
  <c r="L56" i="22"/>
  <c r="L50" i="23"/>
  <c r="L42" i="23"/>
  <c r="L52" i="22"/>
  <c r="D47" i="25"/>
  <c r="E47" i="25" s="1"/>
  <c r="F47" i="25" s="1"/>
  <c r="G47" i="25" s="1"/>
  <c r="H47" i="25" s="1"/>
  <c r="I47" i="25" s="1"/>
  <c r="J47" i="25" s="1"/>
  <c r="K47" i="25" s="1"/>
  <c r="L113" i="25"/>
  <c r="L42" i="22"/>
  <c r="L101" i="22"/>
  <c r="L108" i="23"/>
  <c r="D54" i="24"/>
  <c r="E54" i="24" s="1"/>
  <c r="F54" i="24" s="1"/>
  <c r="G54" i="24" s="1"/>
  <c r="H54" i="24" s="1"/>
  <c r="I54" i="24" s="1"/>
  <c r="J54" i="24" s="1"/>
  <c r="K54" i="24" s="1"/>
  <c r="L51" i="23"/>
  <c r="L50" i="25"/>
  <c r="L108" i="25"/>
  <c r="D103" i="22"/>
  <c r="E103" i="22" s="1"/>
  <c r="F103" i="22" s="1"/>
  <c r="G103" i="22" s="1"/>
  <c r="H103" i="22" s="1"/>
  <c r="I103" i="22" s="1"/>
  <c r="J103" i="22" s="1"/>
  <c r="K103" i="22" s="1"/>
  <c r="L106" i="25"/>
  <c r="C58" i="23"/>
  <c r="D47" i="23"/>
  <c r="E47" i="23" s="1"/>
  <c r="F47" i="23" s="1"/>
  <c r="G47" i="23" s="1"/>
  <c r="H47" i="23" s="1"/>
  <c r="I47" i="23" s="1"/>
  <c r="J47" i="23" s="1"/>
  <c r="K47" i="23" s="1"/>
  <c r="L44" i="23"/>
  <c r="D54" i="23"/>
  <c r="E54" i="23" s="1"/>
  <c r="F54" i="23" s="1"/>
  <c r="G54" i="23" s="1"/>
  <c r="H54" i="23" s="1"/>
  <c r="I54" i="23" s="1"/>
  <c r="J54" i="23" s="1"/>
  <c r="K54" i="23" s="1"/>
  <c r="D103" i="25"/>
  <c r="E103" i="25" s="1"/>
  <c r="F103" i="25" s="1"/>
  <c r="G103" i="25" s="1"/>
  <c r="H103" i="25" s="1"/>
  <c r="I103" i="25" s="1"/>
  <c r="J103" i="25" s="1"/>
  <c r="K103" i="25" s="1"/>
  <c r="D114" i="24"/>
  <c r="E114" i="24" s="1"/>
  <c r="F114" i="24" s="1"/>
  <c r="G114" i="24" s="1"/>
  <c r="H114" i="24" s="1"/>
  <c r="I114" i="24" s="1"/>
  <c r="J114" i="24" s="1"/>
  <c r="K114" i="24" s="1"/>
  <c r="L44" i="25"/>
  <c r="L113" i="23"/>
  <c r="L56" i="24"/>
  <c r="D110" i="25"/>
  <c r="E110" i="25" s="1"/>
  <c r="F110" i="25" s="1"/>
  <c r="G110" i="25" s="1"/>
  <c r="H110" i="25" s="1"/>
  <c r="I110" i="25" s="1"/>
  <c r="J110" i="25" s="1"/>
  <c r="K110" i="25" s="1"/>
  <c r="L101" i="25"/>
  <c r="L101" i="23"/>
  <c r="L49" i="25"/>
  <c r="L105" i="22"/>
  <c r="L98" i="23"/>
  <c r="L49" i="22"/>
  <c r="C114" i="25"/>
  <c r="C114" i="23"/>
  <c r="D110" i="23"/>
  <c r="E110" i="23" s="1"/>
  <c r="F110" i="23" s="1"/>
  <c r="G110" i="23" s="1"/>
  <c r="H110" i="23" s="1"/>
  <c r="I110" i="23" s="1"/>
  <c r="J110" i="23" s="1"/>
  <c r="K110" i="23" s="1"/>
  <c r="L96" i="24"/>
  <c r="L112" i="24"/>
  <c r="D110" i="24"/>
  <c r="E110" i="24" s="1"/>
  <c r="F110" i="24" s="1"/>
  <c r="G110" i="24" s="1"/>
  <c r="H110" i="24" s="1"/>
  <c r="I110" i="24" s="1"/>
  <c r="J110" i="24" s="1"/>
  <c r="K110" i="24" s="1"/>
  <c r="L107" i="24"/>
  <c r="L100" i="24"/>
  <c r="L106" i="23"/>
  <c r="D54" i="25"/>
  <c r="E54" i="25" s="1"/>
  <c r="F54" i="25" s="1"/>
  <c r="G54" i="25" s="1"/>
  <c r="H54" i="25" s="1"/>
  <c r="I54" i="25" s="1"/>
  <c r="J54" i="25" s="1"/>
  <c r="K54" i="25" s="1"/>
  <c r="L107" i="23"/>
  <c r="D54" i="22"/>
  <c r="E54" i="22" s="1"/>
  <c r="F54" i="22" s="1"/>
  <c r="G54" i="22" s="1"/>
  <c r="H54" i="22" s="1"/>
  <c r="I54" i="22" s="1"/>
  <c r="J54" i="22" s="1"/>
  <c r="K54" i="22" s="1"/>
  <c r="L96" i="25"/>
  <c r="C58" i="25"/>
  <c r="D110" i="22"/>
  <c r="E110" i="22" s="1"/>
  <c r="F110" i="22" s="1"/>
  <c r="G110" i="22" s="1"/>
  <c r="H110" i="22" s="1"/>
  <c r="I110" i="22" s="1"/>
  <c r="J110" i="22" s="1"/>
  <c r="K110" i="22" s="1"/>
  <c r="D103" i="23"/>
  <c r="E103" i="23" s="1"/>
  <c r="F103" i="23" s="1"/>
  <c r="G103" i="23" s="1"/>
  <c r="H103" i="23" s="1"/>
  <c r="I103" i="23" s="1"/>
  <c r="J103" i="23" s="1"/>
  <c r="K103" i="23" s="1"/>
  <c r="D103" i="24"/>
  <c r="E103" i="24" s="1"/>
  <c r="F103" i="24" s="1"/>
  <c r="G103" i="24" s="1"/>
  <c r="H103" i="24" s="1"/>
  <c r="I103" i="24" s="1"/>
  <c r="J103" i="24" s="1"/>
  <c r="K103" i="24" s="1"/>
  <c r="L56" i="25"/>
  <c r="L112" i="25"/>
  <c r="L57" i="24"/>
  <c r="L113" i="22"/>
  <c r="L42" i="25"/>
  <c r="L44" i="24"/>
  <c r="D47" i="24"/>
  <c r="E47" i="24" s="1"/>
  <c r="F47" i="24" s="1"/>
  <c r="G47" i="24" s="1"/>
  <c r="H47" i="24" s="1"/>
  <c r="I47" i="24" s="1"/>
  <c r="J47" i="24" s="1"/>
  <c r="K47" i="24" s="1"/>
  <c r="L96" i="23"/>
  <c r="L40" i="25"/>
  <c r="D47" i="22"/>
  <c r="E47" i="22" s="1"/>
  <c r="F47" i="22" s="1"/>
  <c r="G47" i="22" s="1"/>
  <c r="H47" i="22" s="1"/>
  <c r="I47" i="22" s="1"/>
  <c r="J47" i="22" s="1"/>
  <c r="K47" i="22" s="1"/>
  <c r="L40" i="23"/>
  <c r="L50" i="24"/>
  <c r="L98" i="22"/>
  <c r="L52" i="23"/>
  <c r="C58" i="7"/>
  <c r="L54" i="7"/>
  <c r="C114" i="7"/>
  <c r="D114" i="7" s="1"/>
  <c r="E114" i="7" s="1"/>
  <c r="F114" i="7" s="1"/>
  <c r="G114" i="7" s="1"/>
  <c r="H114" i="7" s="1"/>
  <c r="I114" i="7" s="1"/>
  <c r="J114" i="7" s="1"/>
  <c r="K114" i="7" s="1"/>
  <c r="L103" i="7"/>
  <c r="L47" i="7"/>
  <c r="L56" i="7"/>
  <c r="L103" i="24" l="1"/>
  <c r="L47" i="22"/>
  <c r="L47" i="23"/>
  <c r="L47" i="25"/>
  <c r="L110" i="23"/>
  <c r="D58" i="7"/>
  <c r="E58" i="7" s="1"/>
  <c r="F58" i="7" s="1"/>
  <c r="G58" i="7" s="1"/>
  <c r="H58" i="7" s="1"/>
  <c r="I58" i="7" s="1"/>
  <c r="J58" i="7" s="1"/>
  <c r="K58" i="7" s="1"/>
  <c r="L103" i="23"/>
  <c r="L110" i="25"/>
  <c r="L114" i="22"/>
  <c r="L47" i="24"/>
  <c r="L110" i="24"/>
  <c r="L110" i="22"/>
  <c r="L103" i="22"/>
  <c r="D58" i="25"/>
  <c r="E58" i="25" s="1"/>
  <c r="F58" i="25" s="1"/>
  <c r="G58" i="25" s="1"/>
  <c r="H58" i="25" s="1"/>
  <c r="I58" i="25" s="1"/>
  <c r="J58" i="25" s="1"/>
  <c r="K58" i="25" s="1"/>
  <c r="L54" i="23"/>
  <c r="D114" i="23"/>
  <c r="E114" i="23" s="1"/>
  <c r="F114" i="23" s="1"/>
  <c r="G114" i="23" s="1"/>
  <c r="H114" i="23" s="1"/>
  <c r="I114" i="23" s="1"/>
  <c r="J114" i="23" s="1"/>
  <c r="K114" i="23" s="1"/>
  <c r="D114" i="25"/>
  <c r="E114" i="25" s="1"/>
  <c r="F114" i="25" s="1"/>
  <c r="G114" i="25" s="1"/>
  <c r="H114" i="25" s="1"/>
  <c r="I114" i="25" s="1"/>
  <c r="J114" i="25" s="1"/>
  <c r="K114" i="25" s="1"/>
  <c r="L58" i="24"/>
  <c r="L54" i="25"/>
  <c r="D58" i="23"/>
  <c r="E58" i="23" s="1"/>
  <c r="F58" i="23" s="1"/>
  <c r="G58" i="23" s="1"/>
  <c r="H58" i="23" s="1"/>
  <c r="I58" i="23" s="1"/>
  <c r="J58" i="23" s="1"/>
  <c r="K58" i="23" s="1"/>
  <c r="L114" i="24"/>
  <c r="L54" i="24"/>
  <c r="L54" i="22"/>
  <c r="L58" i="22"/>
  <c r="L103" i="25"/>
  <c r="L112" i="7"/>
  <c r="L114" i="25" l="1"/>
  <c r="L58" i="7"/>
  <c r="L114" i="23"/>
  <c r="L58" i="23"/>
  <c r="L58" i="25"/>
  <c r="L114" i="7"/>
  <c r="G11" i="4" l="1"/>
  <c r="J119" i="24" s="1"/>
  <c r="E12" i="4"/>
  <c r="B63" i="7" l="1"/>
  <c r="H119" i="7"/>
  <c r="E119" i="23"/>
  <c r="G63" i="23"/>
  <c r="E63" i="23"/>
  <c r="C119" i="24"/>
  <c r="B63" i="24"/>
  <c r="B59" i="24" s="1"/>
  <c r="C59" i="24" s="1"/>
  <c r="C119" i="25"/>
  <c r="K63" i="23"/>
  <c r="K63" i="24"/>
  <c r="J63" i="7"/>
  <c r="C63" i="24"/>
  <c r="F119" i="25"/>
  <c r="I63" i="23"/>
  <c r="K63" i="25"/>
  <c r="H63" i="24"/>
  <c r="F119" i="22"/>
  <c r="B63" i="23"/>
  <c r="D63" i="7"/>
  <c r="E63" i="25"/>
  <c r="H119" i="23"/>
  <c r="H63" i="22"/>
  <c r="E63" i="24"/>
  <c r="B63" i="25"/>
  <c r="B119" i="22"/>
  <c r="B119" i="25"/>
  <c r="B60" i="24"/>
  <c r="C60" i="24" s="1"/>
  <c r="I63" i="25"/>
  <c r="D119" i="24"/>
  <c r="I119" i="25"/>
  <c r="H119" i="22"/>
  <c r="H119" i="24"/>
  <c r="F63" i="25"/>
  <c r="E63" i="7"/>
  <c r="H63" i="25"/>
  <c r="I119" i="22"/>
  <c r="B119" i="23"/>
  <c r="B116" i="23" s="1"/>
  <c r="B63" i="22"/>
  <c r="B60" i="22" s="1"/>
  <c r="G63" i="24"/>
  <c r="K119" i="24"/>
  <c r="H63" i="23"/>
  <c r="J119" i="7"/>
  <c r="F63" i="24"/>
  <c r="G63" i="7"/>
  <c r="J63" i="23"/>
  <c r="E119" i="22"/>
  <c r="C116" i="23"/>
  <c r="D116" i="23" s="1"/>
  <c r="E116" i="23" s="1"/>
  <c r="F116" i="23" s="1"/>
  <c r="G116" i="23" s="1"/>
  <c r="H116" i="23" s="1"/>
  <c r="I116" i="23" s="1"/>
  <c r="J116" i="23" s="1"/>
  <c r="K116" i="23" s="1"/>
  <c r="B115" i="23"/>
  <c r="B59" i="23"/>
  <c r="B60" i="23"/>
  <c r="B59" i="22"/>
  <c r="B59" i="7"/>
  <c r="B60" i="7"/>
  <c r="C119" i="7"/>
  <c r="G119" i="23"/>
  <c r="G119" i="7"/>
  <c r="G12" i="4"/>
  <c r="F63" i="23"/>
  <c r="C63" i="25"/>
  <c r="I63" i="24"/>
  <c r="D63" i="25"/>
  <c r="D119" i="25"/>
  <c r="F119" i="7"/>
  <c r="D63" i="24"/>
  <c r="I119" i="7"/>
  <c r="G119" i="25"/>
  <c r="F119" i="24"/>
  <c r="H119" i="25"/>
  <c r="E119" i="7"/>
  <c r="C63" i="22"/>
  <c r="G63" i="25"/>
  <c r="I119" i="23"/>
  <c r="K119" i="23"/>
  <c r="J63" i="25"/>
  <c r="J119" i="23"/>
  <c r="D63" i="22"/>
  <c r="E119" i="25"/>
  <c r="K119" i="22"/>
  <c r="H63" i="7"/>
  <c r="K63" i="22"/>
  <c r="I119" i="24"/>
  <c r="J119" i="22"/>
  <c r="J119" i="25"/>
  <c r="K119" i="7"/>
  <c r="C63" i="7"/>
  <c r="D119" i="23"/>
  <c r="K119" i="25"/>
  <c r="G63" i="22"/>
  <c r="C119" i="23"/>
  <c r="J63" i="22"/>
  <c r="G119" i="24"/>
  <c r="E119" i="24"/>
  <c r="K63" i="7"/>
  <c r="B119" i="7"/>
  <c r="B119" i="24"/>
  <c r="F63" i="22"/>
  <c r="G119" i="22"/>
  <c r="D119" i="22"/>
  <c r="C119" i="22"/>
  <c r="D63" i="23"/>
  <c r="J63" i="24"/>
  <c r="F63" i="7"/>
  <c r="E63" i="22"/>
  <c r="C63" i="23"/>
  <c r="D119" i="7"/>
  <c r="I63" i="22"/>
  <c r="I63" i="7"/>
  <c r="F119" i="23"/>
  <c r="L63" i="7" l="1"/>
  <c r="C8" i="5" s="1"/>
  <c r="L63" i="23"/>
  <c r="E8" i="5" s="1"/>
  <c r="I8" i="5" s="1"/>
  <c r="I9" i="5" s="1"/>
  <c r="L116" i="23"/>
  <c r="D60" i="24"/>
  <c r="E60" i="24" s="1"/>
  <c r="F60" i="24" s="1"/>
  <c r="G60" i="24" s="1"/>
  <c r="H60" i="24" s="1"/>
  <c r="I60" i="24" s="1"/>
  <c r="J60" i="24" s="1"/>
  <c r="K60" i="24" s="1"/>
  <c r="B61" i="24"/>
  <c r="B115" i="22"/>
  <c r="B116" i="22"/>
  <c r="L119" i="23"/>
  <c r="B116" i="25"/>
  <c r="B115" i="25"/>
  <c r="L119" i="22"/>
  <c r="L63" i="24"/>
  <c r="F8" i="5" s="1"/>
  <c r="F13" i="5" s="1"/>
  <c r="B60" i="25"/>
  <c r="B59" i="25"/>
  <c r="C9" i="5"/>
  <c r="C13" i="5"/>
  <c r="E9" i="5"/>
  <c r="C61" i="24"/>
  <c r="D59" i="24"/>
  <c r="J8" i="5"/>
  <c r="J9" i="5" s="1"/>
  <c r="F9" i="5"/>
  <c r="B61" i="7"/>
  <c r="C59" i="7"/>
  <c r="B61" i="22"/>
  <c r="C59" i="22"/>
  <c r="C60" i="23"/>
  <c r="D60" i="23" s="1"/>
  <c r="E60" i="23" s="1"/>
  <c r="F60" i="23" s="1"/>
  <c r="G60" i="23" s="1"/>
  <c r="H60" i="23" s="1"/>
  <c r="I60" i="23" s="1"/>
  <c r="J60" i="23" s="1"/>
  <c r="K60" i="23" s="1"/>
  <c r="L119" i="24"/>
  <c r="B115" i="24"/>
  <c r="B116" i="24"/>
  <c r="L63" i="25"/>
  <c r="G8" i="5" s="1"/>
  <c r="C60" i="22"/>
  <c r="D60" i="22" s="1"/>
  <c r="E60" i="22" s="1"/>
  <c r="F60" i="22" s="1"/>
  <c r="G60" i="22" s="1"/>
  <c r="H60" i="22" s="1"/>
  <c r="I60" i="22" s="1"/>
  <c r="J60" i="22" s="1"/>
  <c r="K60" i="22" s="1"/>
  <c r="C59" i="23"/>
  <c r="B61" i="23"/>
  <c r="L119" i="7"/>
  <c r="B116" i="7"/>
  <c r="B115" i="7"/>
  <c r="L63" i="22"/>
  <c r="D8" i="5" s="1"/>
  <c r="L119" i="25"/>
  <c r="C115" i="23"/>
  <c r="B117" i="23"/>
  <c r="C60" i="7"/>
  <c r="D60" i="7" s="1"/>
  <c r="E60" i="7" s="1"/>
  <c r="F60" i="7" s="1"/>
  <c r="G60" i="7" s="1"/>
  <c r="H60" i="7" s="1"/>
  <c r="I60" i="7" s="1"/>
  <c r="J60" i="7" s="1"/>
  <c r="K60" i="7" s="1"/>
  <c r="E13" i="5" l="1"/>
  <c r="L60" i="24"/>
  <c r="C59" i="25"/>
  <c r="B61" i="25"/>
  <c r="B117" i="22"/>
  <c r="C115" i="22"/>
  <c r="C116" i="25"/>
  <c r="D116" i="25" s="1"/>
  <c r="E116" i="25" s="1"/>
  <c r="F116" i="25" s="1"/>
  <c r="G116" i="25" s="1"/>
  <c r="H116" i="25" s="1"/>
  <c r="I116" i="25" s="1"/>
  <c r="J116" i="25" s="1"/>
  <c r="K116" i="25" s="1"/>
  <c r="L116" i="25"/>
  <c r="C115" i="25"/>
  <c r="B117" i="25"/>
  <c r="C60" i="25"/>
  <c r="D60" i="25" s="1"/>
  <c r="E60" i="25" s="1"/>
  <c r="F60" i="25" s="1"/>
  <c r="G60" i="25" s="1"/>
  <c r="H60" i="25" s="1"/>
  <c r="I60" i="25" s="1"/>
  <c r="J60" i="25" s="1"/>
  <c r="K60" i="25" s="1"/>
  <c r="L60" i="22"/>
  <c r="C116" i="22"/>
  <c r="D116" i="22" s="1"/>
  <c r="E116" i="22" s="1"/>
  <c r="F116" i="22" s="1"/>
  <c r="G116" i="22" s="1"/>
  <c r="H116" i="22" s="1"/>
  <c r="I116" i="22" s="1"/>
  <c r="J116" i="22" s="1"/>
  <c r="K116" i="22" s="1"/>
  <c r="C116" i="7"/>
  <c r="D116" i="7" s="1"/>
  <c r="E116" i="7" s="1"/>
  <c r="F116" i="7" s="1"/>
  <c r="G116" i="7" s="1"/>
  <c r="H116" i="7" s="1"/>
  <c r="I116" i="7" s="1"/>
  <c r="J116" i="7" s="1"/>
  <c r="K116" i="7" s="1"/>
  <c r="G9" i="5"/>
  <c r="G13" i="5"/>
  <c r="K8" i="5"/>
  <c r="K9" i="5" s="1"/>
  <c r="E14" i="5"/>
  <c r="I13" i="5"/>
  <c r="I14" i="5" s="1"/>
  <c r="C14" i="5"/>
  <c r="L60" i="7"/>
  <c r="C61" i="23"/>
  <c r="D59" i="23"/>
  <c r="C116" i="24"/>
  <c r="D116" i="24" s="1"/>
  <c r="E116" i="24" s="1"/>
  <c r="F116" i="24" s="1"/>
  <c r="G116" i="24" s="1"/>
  <c r="H116" i="24" s="1"/>
  <c r="I116" i="24" s="1"/>
  <c r="J116" i="24" s="1"/>
  <c r="K116" i="24" s="1"/>
  <c r="L60" i="23"/>
  <c r="D59" i="7"/>
  <c r="C61" i="7"/>
  <c r="D61" i="24"/>
  <c r="E59" i="24"/>
  <c r="D9" i="5"/>
  <c r="D13" i="5"/>
  <c r="H8" i="5"/>
  <c r="H9" i="5" s="1"/>
  <c r="B117" i="24"/>
  <c r="C115" i="24"/>
  <c r="C61" i="22"/>
  <c r="D59" i="22"/>
  <c r="F14" i="5"/>
  <c r="J13" i="5"/>
  <c r="J14" i="5" s="1"/>
  <c r="D115" i="23"/>
  <c r="C117" i="23"/>
  <c r="C115" i="7"/>
  <c r="B117" i="7"/>
  <c r="C117" i="22" l="1"/>
  <c r="D115" i="22"/>
  <c r="C117" i="25"/>
  <c r="D115" i="25"/>
  <c r="L116" i="22"/>
  <c r="L60" i="25"/>
  <c r="C61" i="25"/>
  <c r="D59" i="25"/>
  <c r="D115" i="7"/>
  <c r="C117" i="7"/>
  <c r="F59" i="24"/>
  <c r="E61" i="24"/>
  <c r="E115" i="23"/>
  <c r="D117" i="23"/>
  <c r="C117" i="24"/>
  <c r="D115" i="24"/>
  <c r="D14" i="5"/>
  <c r="H13" i="5"/>
  <c r="H14" i="5" s="1"/>
  <c r="L116" i="24"/>
  <c r="D61" i="22"/>
  <c r="E59" i="22"/>
  <c r="D61" i="7"/>
  <c r="E59" i="7"/>
  <c r="E59" i="23"/>
  <c r="D61" i="23"/>
  <c r="G14" i="5"/>
  <c r="K13" i="5"/>
  <c r="K14" i="5" s="1"/>
  <c r="L116" i="7"/>
  <c r="E115" i="22" l="1"/>
  <c r="D117" i="22"/>
  <c r="E59" i="25"/>
  <c r="D61" i="25"/>
  <c r="D117" i="25"/>
  <c r="E115" i="25"/>
  <c r="E61" i="7"/>
  <c r="F59" i="7"/>
  <c r="F59" i="22"/>
  <c r="E61" i="22"/>
  <c r="G59" i="24"/>
  <c r="F61" i="24"/>
  <c r="E61" i="23"/>
  <c r="F59" i="23"/>
  <c r="E115" i="24"/>
  <c r="D117" i="24"/>
  <c r="F115" i="23"/>
  <c r="E117" i="23"/>
  <c r="E115" i="7"/>
  <c r="D117" i="7"/>
  <c r="F59" i="25" l="1"/>
  <c r="E61" i="25"/>
  <c r="F115" i="25"/>
  <c r="E117" i="25"/>
  <c r="E117" i="22"/>
  <c r="F115" i="22"/>
  <c r="E117" i="7"/>
  <c r="F115" i="7"/>
  <c r="E117" i="24"/>
  <c r="F115" i="24"/>
  <c r="F61" i="22"/>
  <c r="G59" i="22"/>
  <c r="F61" i="23"/>
  <c r="G59" i="23"/>
  <c r="H59" i="24"/>
  <c r="G61" i="24"/>
  <c r="F117" i="23"/>
  <c r="G115" i="23"/>
  <c r="F61" i="7"/>
  <c r="G59" i="7"/>
  <c r="G115" i="25" l="1"/>
  <c r="F117" i="25"/>
  <c r="F117" i="22"/>
  <c r="G115" i="22"/>
  <c r="F61" i="25"/>
  <c r="G59" i="25"/>
  <c r="F117" i="7"/>
  <c r="G115" i="7"/>
  <c r="H59" i="7"/>
  <c r="G61" i="7"/>
  <c r="H115" i="23"/>
  <c r="G117" i="23"/>
  <c r="I59" i="24"/>
  <c r="H61" i="24"/>
  <c r="F117" i="24"/>
  <c r="G115" i="24"/>
  <c r="G61" i="23"/>
  <c r="H59" i="23"/>
  <c r="H59" i="22"/>
  <c r="G61" i="22"/>
  <c r="G61" i="25" l="1"/>
  <c r="H59" i="25"/>
  <c r="G117" i="22"/>
  <c r="H115" i="22"/>
  <c r="G117" i="25"/>
  <c r="H115" i="25"/>
  <c r="H117" i="23"/>
  <c r="I115" i="23"/>
  <c r="H61" i="23"/>
  <c r="I59" i="23"/>
  <c r="I61" i="24"/>
  <c r="J59" i="24"/>
  <c r="H61" i="22"/>
  <c r="I59" i="22"/>
  <c r="H115" i="24"/>
  <c r="G117" i="24"/>
  <c r="H61" i="7"/>
  <c r="I59" i="7"/>
  <c r="G117" i="7"/>
  <c r="H115" i="7"/>
  <c r="I115" i="25" l="1"/>
  <c r="H117" i="25"/>
  <c r="H61" i="25"/>
  <c r="I59" i="25"/>
  <c r="H117" i="22"/>
  <c r="I115" i="22"/>
  <c r="I115" i="7"/>
  <c r="H117" i="7"/>
  <c r="I61" i="22"/>
  <c r="J59" i="22"/>
  <c r="K59" i="24"/>
  <c r="J61" i="24"/>
  <c r="I61" i="23"/>
  <c r="J59" i="23"/>
  <c r="J115" i="23"/>
  <c r="I117" i="23"/>
  <c r="I61" i="7"/>
  <c r="J59" i="7"/>
  <c r="H117" i="24"/>
  <c r="I115" i="24"/>
  <c r="J59" i="25" l="1"/>
  <c r="I61" i="25"/>
  <c r="I117" i="22"/>
  <c r="J115" i="22"/>
  <c r="J115" i="25"/>
  <c r="I117" i="25"/>
  <c r="I117" i="24"/>
  <c r="J115" i="24"/>
  <c r="J61" i="23"/>
  <c r="K59" i="23"/>
  <c r="J61" i="22"/>
  <c r="K59" i="22"/>
  <c r="K61" i="22" s="1"/>
  <c r="J117" i="23"/>
  <c r="K115" i="23"/>
  <c r="K117" i="23" s="1"/>
  <c r="L117" i="23" s="1"/>
  <c r="E11" i="5" s="1"/>
  <c r="J61" i="7"/>
  <c r="K59" i="7"/>
  <c r="K61" i="24"/>
  <c r="L61" i="24" s="1"/>
  <c r="F6" i="5" s="1"/>
  <c r="L59" i="24"/>
  <c r="J115" i="7"/>
  <c r="I117" i="7"/>
  <c r="L59" i="22" l="1"/>
  <c r="J117" i="22"/>
  <c r="K115" i="22"/>
  <c r="K117" i="22" s="1"/>
  <c r="L117" i="25"/>
  <c r="G11" i="5" s="1"/>
  <c r="K115" i="25"/>
  <c r="K117" i="25" s="1"/>
  <c r="J117" i="25"/>
  <c r="L115" i="25"/>
  <c r="L115" i="23"/>
  <c r="L61" i="22"/>
  <c r="D6" i="5" s="1"/>
  <c r="K59" i="25"/>
  <c r="J61" i="25"/>
  <c r="D7" i="5"/>
  <c r="D10" i="5"/>
  <c r="K115" i="24"/>
  <c r="J117" i="24"/>
  <c r="J117" i="7"/>
  <c r="K115" i="7"/>
  <c r="E12" i="5"/>
  <c r="E15" i="5"/>
  <c r="F7" i="5"/>
  <c r="F10" i="5"/>
  <c r="K61" i="7"/>
  <c r="L61" i="7" s="1"/>
  <c r="C6" i="5" s="1"/>
  <c r="L59" i="7"/>
  <c r="K61" i="23"/>
  <c r="L61" i="23" s="1"/>
  <c r="E6" i="5" s="1"/>
  <c r="L59" i="23"/>
  <c r="L117" i="22" l="1"/>
  <c r="D11" i="5" s="1"/>
  <c r="L115" i="22"/>
  <c r="G12" i="5"/>
  <c r="G15" i="5"/>
  <c r="K61" i="25"/>
  <c r="L61" i="25" s="1"/>
  <c r="G6" i="5" s="1"/>
  <c r="K6" i="5" s="1"/>
  <c r="K7" i="5" s="1"/>
  <c r="L59" i="25"/>
  <c r="C7" i="5"/>
  <c r="C10" i="5"/>
  <c r="H10" i="5" s="1"/>
  <c r="K117" i="7"/>
  <c r="L117" i="7" s="1"/>
  <c r="C11" i="5" s="1"/>
  <c r="L115" i="7"/>
  <c r="J10" i="5"/>
  <c r="J6" i="5"/>
  <c r="J7" i="5" s="1"/>
  <c r="K117" i="24"/>
  <c r="L117" i="24" s="1"/>
  <c r="F11" i="5" s="1"/>
  <c r="L115" i="24"/>
  <c r="E7" i="5"/>
  <c r="I6" i="5"/>
  <c r="I7" i="5" s="1"/>
  <c r="E10" i="5"/>
  <c r="H6" i="5"/>
  <c r="H7" i="5" s="1"/>
  <c r="I10" i="5" l="1"/>
  <c r="D15" i="5"/>
  <c r="D12" i="5"/>
  <c r="G10" i="5"/>
  <c r="K10" i="5" s="1"/>
  <c r="G7" i="5"/>
  <c r="C12" i="5"/>
  <c r="C15" i="5"/>
  <c r="K11" i="5"/>
  <c r="K12" i="5" s="1"/>
  <c r="I11" i="5"/>
  <c r="I12" i="5" s="1"/>
  <c r="H11" i="5"/>
  <c r="H12" i="5" s="1"/>
  <c r="J11" i="5"/>
  <c r="J12" i="5" s="1"/>
  <c r="F12" i="5"/>
  <c r="F15" i="5"/>
  <c r="J15" i="5" l="1"/>
  <c r="K15" i="5"/>
  <c r="H15" i="5"/>
  <c r="I15" i="5"/>
</calcChain>
</file>

<file path=xl/comments1.xml><?xml version="1.0" encoding="utf-8"?>
<comments xmlns="http://schemas.openxmlformats.org/spreadsheetml/2006/main">
  <authors>
    <author>AGolub</author>
  </authors>
  <commentList>
    <comment ref="A1" authorId="0" shapeId="0">
      <text>
        <r>
          <rPr>
            <b/>
            <sz val="10"/>
            <color indexed="81"/>
            <rFont val="Tahoma"/>
            <charset val="1"/>
          </rPr>
          <t>AGolub:</t>
        </r>
        <r>
          <rPr>
            <sz val="10"/>
            <color indexed="81"/>
            <rFont val="Tahoma"/>
            <charset val="1"/>
          </rPr>
          <t xml:space="preserve">
Pink cells can be tailored to your case</t>
        </r>
      </text>
    </comment>
  </commentList>
</comments>
</file>

<file path=xl/comments2.xml><?xml version="1.0" encoding="utf-8"?>
<comments xmlns="http://schemas.openxmlformats.org/spreadsheetml/2006/main">
  <authors>
    <author>AGolub</author>
  </authors>
  <commentList>
    <comment ref="A2" authorId="0" shapeId="0">
      <text>
        <r>
          <rPr>
            <b/>
            <sz val="10"/>
            <color indexed="81"/>
            <rFont val="Tahoma"/>
            <charset val="1"/>
          </rPr>
          <t>AGolub:</t>
        </r>
        <r>
          <rPr>
            <sz val="10"/>
            <color indexed="81"/>
            <rFont val="Tahoma"/>
            <charset val="1"/>
          </rPr>
          <t xml:space="preserve">
Pink cells can be manipulated for your case</t>
        </r>
      </text>
    </comment>
    <comment ref="A7" authorId="0" shapeId="0">
      <text>
        <r>
          <rPr>
            <b/>
            <sz val="9"/>
            <color indexed="81"/>
            <rFont val="Tahoma"/>
            <family val="2"/>
          </rPr>
          <t>AGolub:</t>
        </r>
        <r>
          <rPr>
            <sz val="9"/>
            <color indexed="81"/>
            <rFont val="Tahoma"/>
            <family val="2"/>
          </rPr>
          <t xml:space="preserve">
For the top row of each section we decided on a general cost of each scenario compared to the "cash everywhere" scenario which has a default cost of "0" - the other scenarios are assumed to be more negative in terms of access. </t>
        </r>
      </text>
    </comment>
    <comment ref="A8" authorId="0" shapeId="0">
      <text>
        <r>
          <rPr>
            <b/>
            <sz val="9"/>
            <color indexed="81"/>
            <rFont val="Tahoma"/>
            <family val="2"/>
          </rPr>
          <t>AGolub:</t>
        </r>
        <r>
          <rPr>
            <sz val="9"/>
            <color indexed="81"/>
            <rFont val="Tahoma"/>
            <family val="2"/>
          </rPr>
          <t xml:space="preserve">
These equity factors are developed by reviewing survey data we collected and looking at the prevalence of inequities by race/ethnicity, age or income. Therefore - these are just examples. Without survey data, understanding these disparities will be a challenge. </t>
        </r>
      </text>
    </comment>
  </commentList>
</comments>
</file>

<file path=xl/comments3.xml><?xml version="1.0" encoding="utf-8"?>
<comments xmlns="http://schemas.openxmlformats.org/spreadsheetml/2006/main">
  <authors>
    <author>AGolub</author>
  </authors>
  <commentList>
    <comment ref="H3" authorId="0" shapeId="0">
      <text>
        <r>
          <rPr>
            <b/>
            <sz val="10"/>
            <color indexed="81"/>
            <rFont val="Tahoma"/>
            <family val="2"/>
          </rPr>
          <t>AGolub:</t>
        </r>
        <r>
          <rPr>
            <sz val="10"/>
            <color indexed="81"/>
            <rFont val="Tahoma"/>
            <family val="2"/>
          </rPr>
          <t xml:space="preserve">
This is calculated from the left set of columns
</t>
        </r>
      </text>
    </comment>
    <comment ref="B4" authorId="0" shapeId="0">
      <text>
        <r>
          <rPr>
            <b/>
            <sz val="10"/>
            <color indexed="81"/>
            <rFont val="Tahoma"/>
            <charset val="1"/>
          </rPr>
          <t>AGolub:</t>
        </r>
        <r>
          <rPr>
            <sz val="10"/>
            <color indexed="81"/>
            <rFont val="Tahoma"/>
            <charset val="1"/>
          </rPr>
          <t xml:space="preserve">
Red numbers are "worse" and green are "better."</t>
        </r>
      </text>
    </comment>
    <comment ref="H16" authorId="0" shapeId="0">
      <text>
        <r>
          <rPr>
            <b/>
            <sz val="10"/>
            <color indexed="81"/>
            <rFont val="Tahoma"/>
            <family val="2"/>
          </rPr>
          <t>AGolub:</t>
        </r>
        <r>
          <rPr>
            <sz val="10"/>
            <color indexed="81"/>
            <rFont val="Tahoma"/>
            <family val="2"/>
          </rPr>
          <t xml:space="preserve">
This is calculated from the left set of columns
</t>
        </r>
      </text>
    </comment>
  </commentList>
</comments>
</file>

<file path=xl/sharedStrings.xml><?xml version="1.0" encoding="utf-8"?>
<sst xmlns="http://schemas.openxmlformats.org/spreadsheetml/2006/main" count="887" uniqueCount="214">
  <si>
    <t>Scenario 1</t>
  </si>
  <si>
    <t>Scenario 2</t>
  </si>
  <si>
    <t>Scenario 3</t>
  </si>
  <si>
    <t>Scenario 4</t>
  </si>
  <si>
    <t>Cost</t>
  </si>
  <si>
    <t>Initial Marketing and Education</t>
  </si>
  <si>
    <t>Qualitative Analysis</t>
  </si>
  <si>
    <t>Unit Price</t>
  </si>
  <si>
    <t>Low</t>
  </si>
  <si>
    <t>High</t>
  </si>
  <si>
    <t>One Time Capital Investment</t>
  </si>
  <si>
    <t>Fareboxes``</t>
  </si>
  <si>
    <t>Full  service```</t>
  </si>
  <si>
    <t>no cash```</t>
  </si>
  <si>
    <t>Farebox installation costs*</t>
  </si>
  <si>
    <t>Fraction of Farebox costs</t>
  </si>
  <si>
    <t>Ticket Vending Machines``</t>
  </si>
  <si>
    <t>Full  service</t>
  </si>
  <si>
    <t>no cash</t>
  </si>
  <si>
    <t>Ticket Vending Machines Installation costs*</t>
  </si>
  <si>
    <t>Fraction of Ticket Vending Machines costs</t>
  </si>
  <si>
    <t>The Purchase of Fare Media*</t>
  </si>
  <si>
    <t>Magnetic or Capacitive Cards</t>
  </si>
  <si>
    <t>Contact Cards</t>
  </si>
  <si>
    <t>Smart Card Application Software**</t>
  </si>
  <si>
    <t>Support services (training, documentation, revenue testing, and warranties)*</t>
  </si>
  <si>
    <t>Nonrecurring Engineering &amp; Software Costs*</t>
  </si>
  <si>
    <t>Initial Marketing and Education*</t>
  </si>
  <si>
    <t>Data Processing Software and Hardware*</t>
  </si>
  <si>
    <t>Website development******</t>
  </si>
  <si>
    <t>Targeted Customer outreach*******</t>
  </si>
  <si>
    <t>System testing******</t>
  </si>
  <si>
    <t>Fraction of one time capital investment</t>
  </si>
  <si>
    <t>Contingency Costs*</t>
  </si>
  <si>
    <t>Annual Costs Associated with Fare Collection</t>
  </si>
  <si>
    <t>Cash Revenue handling costs*</t>
  </si>
  <si>
    <t>Retail Agency Costs``</t>
  </si>
  <si>
    <t>`` Source: conversation with the director of Business Development at Scheidt &amp; Bachmann</t>
  </si>
  <si>
    <t>``` Full service: The Ticket machines and fareboxs accept cash, credit, debit, and so on.</t>
  </si>
  <si>
    <t>``` no cash: The Ticket machines and fareboxs accept credit, debit, and so on but does not accept cash.</t>
  </si>
  <si>
    <t>* Source: Fleishman et al (2003) - Appendix C (Estimation of Fare System Costs), When estimating the cost for a project, product or other item or investment, there is always uncertainty as to the precise content of all items in the estimate, how work will be performed, what work conditions will be like when the project is executed and so on. These uncertainties are risks to the project. Some refer to these risks as "known-unknowns" because the estimator is aware of them, and based on past experience, can even estimate their probable costs. The estimated costs of the known-unknowns is referred to by cost estimators as cost contingency. Contingency "refers to costs that will probably occur based on past experience, but with some uncertainty regarding the amount.</t>
  </si>
  <si>
    <t>** The cost of application software for the smart card readers is estimated at $100,000 for the overall regional system.</t>
  </si>
  <si>
    <t>*** Source: Cache Valley Transit District, 10 Fare Analysis,</t>
  </si>
  <si>
    <t>**** It is assumed that 5% of fareboxs and ticket vending machines would need to be replaced each year</t>
  </si>
  <si>
    <t>***** Trimet Annual Performance Report</t>
  </si>
  <si>
    <t>*****Source: Metropolitan Transit System (MTS) Fare Collection Whitepaper, San Deigo (2016) Metropolitan Transit System</t>
  </si>
  <si>
    <t>****** Source: Cashless Fare Collection Business Plan, King Country (2013), IBI Group</t>
  </si>
  <si>
    <t>******* Source: Regional Fare Policy and Fare Allocation, Innovations in Fare Equipment and Data Collection (2010), Center for Urban Transportation Reserch, University of South Florida</t>
  </si>
  <si>
    <t>^ It is assumed that 55% of the full fare would be collected because of discounted fares, pre-paid passes, etc. This percentage is within the industry norm for a small-sized system.</t>
  </si>
  <si>
    <t>Inputs for estimating costs</t>
  </si>
  <si>
    <t>Bus</t>
  </si>
  <si>
    <t>Light Rail</t>
  </si>
  <si>
    <t>Heavy Rail</t>
  </si>
  <si>
    <t>Streetcar</t>
  </si>
  <si>
    <t>Others</t>
  </si>
  <si>
    <t>Total</t>
  </si>
  <si>
    <t>The total number of fareboxes</t>
  </si>
  <si>
    <t>Actual Fare Cost for one ride</t>
  </si>
  <si>
    <t>Fareboxes</t>
  </si>
  <si>
    <t>Ticket Vending Machines</t>
  </si>
  <si>
    <t>Share of existing riders able to use system```</t>
  </si>
  <si>
    <t>` Full service: The Ticket machines and fareboxs accept cash, credit, debit, and so on.</t>
  </si>
  <si>
    <t>`` no cash: The Ticket machines and fareboxs accept credit, debit, and so on but does not accept cash.</t>
  </si>
  <si>
    <t>``` The percentage of those who are willing to use the cashless fare system is estimated from the survey data</t>
  </si>
  <si>
    <t>Replacement rate of fareboxs and ticket vending machines per year</t>
  </si>
  <si>
    <t>Number of initial cards</t>
  </si>
  <si>
    <t>Number of cards = 1% of boardings (meaning average use of 100 boardings per card) (See King county page 59)</t>
  </si>
  <si>
    <t>Replacement rate of initial cards per year</t>
  </si>
  <si>
    <t>Ridership and revenue would be same for every year</t>
  </si>
  <si>
    <t>Scenario 2 (Cash on board, not at TVMs)</t>
  </si>
  <si>
    <t>Scenario 3 (Cash only at TVMs)</t>
  </si>
  <si>
    <t>Scenario 4 (Cash accepted everywhere)</t>
  </si>
  <si>
    <t>Senario 2
(Cash on board, not at TVMs)</t>
  </si>
  <si>
    <t>Senario 3
(Cash only at TVMs)</t>
  </si>
  <si>
    <t>Senario 4
(Cash accepted everywhere)</t>
  </si>
  <si>
    <t>Annual Boardings</t>
  </si>
  <si>
    <t>Net Benefit (Revenue - Cost)</t>
  </si>
  <si>
    <t>Year 1</t>
  </si>
  <si>
    <t>Year 2</t>
  </si>
  <si>
    <t>Year 3</t>
  </si>
  <si>
    <t>Year 4</t>
  </si>
  <si>
    <t>Year 5</t>
  </si>
  <si>
    <t>Year 6</t>
  </si>
  <si>
    <t>Year 7</t>
  </si>
  <si>
    <t>Year 8</t>
  </si>
  <si>
    <t>Year 9</t>
  </si>
  <si>
    <t>Full service</t>
  </si>
  <si>
    <t>No cash</t>
  </si>
  <si>
    <t>Year 10</t>
  </si>
  <si>
    <t xml:space="preserve">     Bus</t>
  </si>
  <si>
    <t xml:space="preserve">     Light Rail</t>
  </si>
  <si>
    <t xml:space="preserve">     Heavy Rail</t>
  </si>
  <si>
    <t xml:space="preserve">     Streetcar</t>
  </si>
  <si>
    <t xml:space="preserve">     Others</t>
  </si>
  <si>
    <t>Farebox installation costs</t>
  </si>
  <si>
    <t>Ticket Vending Machines Installation costs</t>
  </si>
  <si>
    <t>The Purchase of Fare Media</t>
  </si>
  <si>
    <t xml:space="preserve">     Magnetic or Capacitive Cards</t>
  </si>
  <si>
    <t xml:space="preserve">     Contact Cards</t>
  </si>
  <si>
    <t>Smart Card Application Software</t>
  </si>
  <si>
    <t>Support services (training, documentation, revenue testing, and warranties)</t>
  </si>
  <si>
    <t>Nonrecurring Engineering &amp; Software Costs</t>
  </si>
  <si>
    <t>Data Processing Software and Hardware</t>
  </si>
  <si>
    <t>Website development</t>
  </si>
  <si>
    <t>Targeted Customer outreach</t>
  </si>
  <si>
    <t>Ongoing Costs Associated with Fare Collection</t>
  </si>
  <si>
    <t>Equipment and Maintenance Costs</t>
  </si>
  <si>
    <t>Additional Purchase of Fareboxs*</t>
  </si>
  <si>
    <t>Contingency Costs</t>
  </si>
  <si>
    <t>Annual Cost Sheets</t>
  </si>
  <si>
    <t>Scenario 1 (Base Case, No cash anywhere, Adds Retail Network)</t>
  </si>
  <si>
    <t>Base (No cash anywhere)</t>
  </si>
  <si>
    <t>Share of previous riders able to use system```</t>
  </si>
  <si>
    <t>.</t>
  </si>
  <si>
    <t>Total costs</t>
  </si>
  <si>
    <t>Total revenues</t>
  </si>
  <si>
    <t>Base Case</t>
  </si>
  <si>
    <t>Revenues</t>
  </si>
  <si>
    <t>Summary of Cost Benefit Analysis</t>
  </si>
  <si>
    <t>Spatial access to purchase/reload (convenience, distance, time)</t>
  </si>
  <si>
    <t>Spatial access to purchase/reload - Significant Racial Disparities?</t>
  </si>
  <si>
    <t>Spatial access to purchase/reload - Significant Age Disparities?</t>
  </si>
  <si>
    <t>Spatial access to purchase/reload - Significant Income Disparities?</t>
  </si>
  <si>
    <t>Spatial access to purchase/reload - Significant Language Disparities?</t>
  </si>
  <si>
    <t>Technological Literacy Required - Significant Racial Disparities?</t>
  </si>
  <si>
    <t>Technological Literacy Required - Significant Age Disparities?</t>
  </si>
  <si>
    <t>Technological Literacy Required - Significant Income Disparities?</t>
  </si>
  <si>
    <t>Technological Literacy Required - Significant Language Disparities?</t>
  </si>
  <si>
    <t>Personal Costs - Significant Racial Disparities?</t>
  </si>
  <si>
    <t>Personal Costs - Significant Age Disparities?</t>
  </si>
  <si>
    <t>Personal Costs - Significant Income Disparities?</t>
  </si>
  <si>
    <t>Personal Costs - Significant Language Disparities?</t>
  </si>
  <si>
    <t>Notes</t>
  </si>
  <si>
    <t>One Time Capital Investment Associated with Fare Collection</t>
  </si>
  <si>
    <t>Costs</t>
  </si>
  <si>
    <t>Cash Revenue handling costs</t>
  </si>
  <si>
    <t>Retail Agency Costs</t>
  </si>
  <si>
    <t>Annual Replacement of Ticket Vending Machine****</t>
  </si>
  <si>
    <t>Annual Maintenance Costs</t>
  </si>
  <si>
    <t>Racial Disparities?</t>
  </si>
  <si>
    <t>Age Disparities?</t>
  </si>
  <si>
    <t>Income Disparities?</t>
  </si>
  <si>
    <t>Language Disparities?</t>
  </si>
  <si>
    <t>Personal Costs (smartphone, credit card requirements, etc.)</t>
  </si>
  <si>
    <t>Qualitative Costs/Benefits</t>
  </si>
  <si>
    <t>Low Unit Price</t>
  </si>
  <si>
    <t>High Unit Price</t>
  </si>
  <si>
    <t>Number of fareboxes per vehicle</t>
  </si>
  <si>
    <t>Number of ticket vending machines per stop or station</t>
  </si>
  <si>
    <t>Equity Score (Average of all equity scores)</t>
  </si>
  <si>
    <t>The more cash payment is available, the fewer people will need to use smartphones/smartcards</t>
  </si>
  <si>
    <t>The more cash payment is available, technological literacy/connectivity is less of an issue</t>
  </si>
  <si>
    <t>Additional Purchase of Fareboxs</t>
  </si>
  <si>
    <t>Additional Purchase of Ticket Vending Machine</t>
  </si>
  <si>
    <t>Replacement of Fare Media</t>
  </si>
  <si>
    <t>The total number of vehicles in 2018</t>
  </si>
  <si>
    <t>The total number of stops or stations in 2019</t>
  </si>
  <si>
    <t>The total number of ticket vending machines</t>
  </si>
  <si>
    <t>Passenger Revenue in 2019</t>
  </si>
  <si>
    <t>Since paratransit and inter-city transit have a different fare system, the information has not been included here.</t>
  </si>
  <si>
    <t>Percentage of Revene as Retail</t>
  </si>
  <si>
    <t>Percentage of Revene as Cash Handled by Agency</t>
  </si>
  <si>
    <t>Annual ridership (trip origins) in 2019</t>
  </si>
  <si>
    <t xml:space="preserve">Instructions: </t>
  </si>
  <si>
    <t>Annual Replacement of Fareboxs****</t>
  </si>
  <si>
    <t>Validator, higher costs include PCI</t>
  </si>
  <si>
    <t>Fraction of Retail cash revenue. Higher range includes more risk exposure in contract (covering for returns, fraud, etc.)</t>
  </si>
  <si>
    <t>Fraction of Total cash revenue</t>
  </si>
  <si>
    <t>Fraction of initial capital equiptment (fareboxes and TVMs) costs.</t>
  </si>
  <si>
    <t>Fraction of fareboxes and ticket vending machine costs</t>
  </si>
  <si>
    <t>(White cells copied from cells above)</t>
  </si>
  <si>
    <t>Types</t>
  </si>
  <si>
    <t>Validating cash (no change) + smart card validator</t>
  </si>
  <si>
    <t>Assumptions re. annual vs upfront costs</t>
  </si>
  <si>
    <t>General barriers to use/adoption (Average of three main scores)</t>
  </si>
  <si>
    <t>No significant differences in survey data (below)</t>
  </si>
  <si>
    <t>Significant differences in survey data (below)</t>
  </si>
  <si>
    <t>Few significant differences in survey data (below)</t>
  </si>
  <si>
    <t>Focus groups highlighted some language challenges</t>
  </si>
  <si>
    <t>Focus groups did not highlight strong cost issues along the dimension of language proficiency</t>
  </si>
  <si>
    <t xml:space="preserve">For the top row of each section we decided on a general cost of each scenario compared to the "cash everywhere" scenario which has a default cost of "0" - the other scenarios are assumed to add cost (or be more negative in terms of access). </t>
  </si>
  <si>
    <t>Financial (10-year) Costs/Benefits</t>
  </si>
  <si>
    <t>Change in Financial Costs/Benefits (10-years) wrt Base</t>
  </si>
  <si>
    <t>Change in Qualitative Costs/Benefits</t>
  </si>
  <si>
    <t>Technological connectivity/literacy required</t>
  </si>
  <si>
    <t>Overall Average of All Scores</t>
  </si>
  <si>
    <t>3-point rating scale (-2 = a major burden or inequality, -1 = a moderate burden or inequality, 0 = neutral - no significant burden or inequality above what the normal (full-cash) fare payment system produces</t>
  </si>
  <si>
    <t xml:space="preserve">Total Cost </t>
  </si>
  <si>
    <t xml:space="preserve">     /Per Boarding </t>
  </si>
  <si>
    <t xml:space="preserve">Total Fare Revenue </t>
  </si>
  <si>
    <t>Table 1. Unit cost inputs</t>
  </si>
  <si>
    <t>EXAMPLE</t>
  </si>
  <si>
    <t>LRT</t>
  </si>
  <si>
    <t>NA</t>
  </si>
  <si>
    <t>https://nitc.trec.pdx.edu/research/project/1268/Applying_an_Equity_Lens_to_Automated_Payment_Solutions_for_Public_Transportation</t>
  </si>
  <si>
    <t>HR</t>
  </si>
  <si>
    <t>Background and details about the modal can be found in Chapter 4 of the project final report, found at:</t>
  </si>
  <si>
    <t>Overall (Calculated from above)</t>
  </si>
  <si>
    <t>This is the cost per rider (left column set) and the cost per additional rider accomodated (right column set)</t>
  </si>
  <si>
    <t>This is revenue from each rider, and revenue added from each rider accomodated.</t>
  </si>
  <si>
    <r>
      <t xml:space="preserve">Please only </t>
    </r>
    <r>
      <rPr>
        <b/>
        <sz val="14"/>
        <color theme="1"/>
        <rFont val="Arial"/>
        <family val="2"/>
      </rPr>
      <t>edit pink cells</t>
    </r>
    <r>
      <rPr>
        <sz val="14"/>
        <color theme="1"/>
        <rFont val="Arial"/>
        <family val="2"/>
      </rPr>
      <t xml:space="preserve"> - these are inputs to be tailored for your specific case. Other cells should be left alone.</t>
    </r>
  </si>
  <si>
    <t xml:space="preserve">To use, we would suggest the following steps: </t>
  </si>
  <si>
    <t xml:space="preserve">The more cash payment is available (especially on-board), spatial access becomes less of an issue. We assume that on-board cash acceptance alleviates challenges of cash elimination more than the other solutions. </t>
  </si>
  <si>
    <t>Notes - Example relationships from our survey work</t>
  </si>
  <si>
    <t>Update the numbers in the top table in the Case and Scenario Parameters sheet</t>
  </si>
  <si>
    <t xml:space="preserve">Review existing survey work or convene a meeting of agency staff and others with knowledge of fare payment behavior to estimate the share of riders excluded under each payment system scenario. Use these numbers in the bottom table on the Case and Scenario Parameters worksheet. </t>
  </si>
  <si>
    <t xml:space="preserve">General flow of how the model works: </t>
  </si>
  <si>
    <t>There are a few comments in certain places to explain a particular area.</t>
  </si>
  <si>
    <t xml:space="preserve">If you have questions - feel free to reach out to the project leader Aaron Golub at agolub@pdx.edu </t>
  </si>
  <si>
    <t>Scale: -2 = very problematic, 0 = neutral/not applicable/no problem/no disparity</t>
  </si>
  <si>
    <t>Costs are in dollars for the 10-year model</t>
  </si>
  <si>
    <t>Total Cost (10-years)</t>
  </si>
  <si>
    <t xml:space="preserve">We strongly encourage you to read that chapter before using the model. </t>
  </si>
  <si>
    <t xml:space="preserve">The qualitative analysis also requires additional research or discussions among staff or others with knowledge of fare payment behavior. Here disparities among riders by age, race/ethnicity, language and income (if any) are needed to understand how the different fare payment systems scenarios may affect different groups of riders differently. Again, refer to chapter 4 in the final report for more on how we estimated these numbers.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</si>
</sst>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00"/>
    <numFmt numFmtId="165" formatCode="&quot;$&quot;#,##0"/>
    <numFmt numFmtId="166" formatCode="0.0"/>
    <numFmt numFmtId="167" formatCode="0.0%"/>
    <numFmt numFmtId="168" formatCode="0.000"/>
    <numFmt numFmtId="169" formatCode="&quot;$&quot;#,##0.000"/>
  </numFmts>
  <fonts count="38" x14ac:knownFonts="1">
    <font>
      <sz val="11"/>
      <color theme="1"/>
      <name val="Arial"/>
    </font>
    <font>
      <b/>
      <i/>
      <sz val="11"/>
      <color theme="1"/>
      <name val="Times New Roman"/>
      <family val="1"/>
    </font>
    <font>
      <sz val="11"/>
      <color theme="1"/>
      <name val="Calibri"/>
      <family val="2"/>
    </font>
    <font>
      <b/>
      <sz val="11"/>
      <color theme="1"/>
      <name val="Times New Roman"/>
      <family val="1"/>
    </font>
    <font>
      <sz val="11"/>
      <color theme="1"/>
      <name val="Times New Roman"/>
      <family val="1"/>
    </font>
    <font>
      <i/>
      <sz val="11"/>
      <color theme="1"/>
      <name val="Times New Roman"/>
      <family val="1"/>
    </font>
    <font>
      <b/>
      <i/>
      <sz val="12"/>
      <color theme="1"/>
      <name val="Times New Roman"/>
      <family val="1"/>
    </font>
    <font>
      <b/>
      <sz val="11"/>
      <color theme="1"/>
      <name val="Calibri"/>
      <family val="2"/>
    </font>
    <font>
      <sz val="11"/>
      <name val="Arial"/>
      <family val="2"/>
    </font>
    <font>
      <b/>
      <i/>
      <sz val="11"/>
      <color theme="1"/>
      <name val="Calibri"/>
      <family val="2"/>
    </font>
    <font>
      <sz val="11"/>
      <color theme="1"/>
      <name val="Calibri"/>
      <family val="2"/>
    </font>
    <font>
      <sz val="11"/>
      <color rgb="FF000000"/>
      <name val="Calibri"/>
      <family val="2"/>
    </font>
    <font>
      <sz val="11"/>
      <name val="Calibri"/>
      <family val="2"/>
    </font>
    <font>
      <b/>
      <sz val="11"/>
      <color rgb="FF000000"/>
      <name val="Calibri"/>
      <family val="2"/>
    </font>
    <font>
      <sz val="11"/>
      <color rgb="FF000000"/>
      <name val="Calibri"/>
      <family val="2"/>
    </font>
    <font>
      <sz val="11"/>
      <color theme="1"/>
      <name val="Arial"/>
      <family val="2"/>
    </font>
    <font>
      <sz val="11"/>
      <color rgb="FF9C0006"/>
      <name val="Calibri"/>
      <family val="2"/>
      <scheme val="minor"/>
    </font>
    <font>
      <sz val="11"/>
      <color rgb="FF9C6500"/>
      <name val="Calibri"/>
      <family val="2"/>
      <scheme val="minor"/>
    </font>
    <font>
      <sz val="11"/>
      <name val="Calibri"/>
      <family val="2"/>
      <scheme val="minor"/>
    </font>
    <font>
      <b/>
      <i/>
      <sz val="11"/>
      <color theme="1"/>
      <name val="Calibri"/>
      <family val="2"/>
    </font>
    <font>
      <b/>
      <sz val="11"/>
      <name val="Calibri"/>
      <family val="2"/>
    </font>
    <font>
      <b/>
      <i/>
      <sz val="12"/>
      <name val="Calibri"/>
      <family val="2"/>
    </font>
    <font>
      <b/>
      <i/>
      <sz val="11"/>
      <name val="Calibri"/>
      <family val="2"/>
    </font>
    <font>
      <u/>
      <sz val="11"/>
      <name val="Arial"/>
      <family val="2"/>
    </font>
    <font>
      <sz val="9"/>
      <color indexed="81"/>
      <name val="Tahoma"/>
      <family val="2"/>
    </font>
    <font>
      <b/>
      <sz val="9"/>
      <color indexed="81"/>
      <name val="Tahoma"/>
      <family val="2"/>
    </font>
    <font>
      <sz val="11"/>
      <color rgb="FFFF0000"/>
      <name val="Calibri"/>
      <family val="2"/>
    </font>
    <font>
      <b/>
      <sz val="11"/>
      <color theme="1"/>
      <name val="Arial"/>
      <family val="2"/>
    </font>
    <font>
      <sz val="11"/>
      <color theme="1"/>
      <name val="Calibri"/>
      <family val="2"/>
      <scheme val="major"/>
    </font>
    <font>
      <u/>
      <sz val="11"/>
      <color theme="10"/>
      <name val="Arial"/>
      <family val="2"/>
    </font>
    <font>
      <sz val="14"/>
      <color theme="1"/>
      <name val="Arial"/>
      <family val="2"/>
    </font>
    <font>
      <b/>
      <sz val="14"/>
      <color theme="1"/>
      <name val="Arial"/>
      <family val="2"/>
    </font>
    <font>
      <u/>
      <sz val="14"/>
      <color theme="10"/>
      <name val="Arial"/>
      <family val="2"/>
    </font>
    <font>
      <sz val="10"/>
      <color indexed="81"/>
      <name val="Tahoma"/>
      <charset val="1"/>
    </font>
    <font>
      <b/>
      <sz val="10"/>
      <color indexed="81"/>
      <name val="Tahoma"/>
      <charset val="1"/>
    </font>
    <font>
      <sz val="10"/>
      <color indexed="81"/>
      <name val="Tahoma"/>
      <family val="2"/>
    </font>
    <font>
      <b/>
      <sz val="10"/>
      <color indexed="81"/>
      <name val="Tahoma"/>
      <family val="2"/>
    </font>
    <font>
      <i/>
      <sz val="14"/>
      <color theme="1"/>
      <name val="Arial"/>
      <family val="2"/>
    </font>
  </fonts>
  <fills count="21">
    <fill>
      <patternFill patternType="none"/>
    </fill>
    <fill>
      <patternFill patternType="gray125"/>
    </fill>
    <fill>
      <patternFill patternType="solid">
        <fgColor rgb="FFFFFF00"/>
        <bgColor rgb="FFFFFF00"/>
      </patternFill>
    </fill>
    <fill>
      <patternFill patternType="solid">
        <fgColor rgb="FFD8D8D8"/>
        <bgColor rgb="FFD8D8D8"/>
      </patternFill>
    </fill>
    <fill>
      <patternFill patternType="solid">
        <fgColor rgb="FFD9D9D9"/>
        <bgColor rgb="FFD9D9D9"/>
      </patternFill>
    </fill>
    <fill>
      <patternFill patternType="solid">
        <fgColor rgb="FFFFF2CC"/>
        <bgColor rgb="FFFFF2CC"/>
      </patternFill>
    </fill>
    <fill>
      <patternFill patternType="solid">
        <fgColor rgb="FFFFE599"/>
        <bgColor rgb="FFFFE599"/>
      </patternFill>
    </fill>
    <fill>
      <patternFill patternType="solid">
        <fgColor rgb="FFA4C2F4"/>
        <bgColor rgb="FFA4C2F4"/>
      </patternFill>
    </fill>
    <fill>
      <patternFill patternType="solid">
        <fgColor rgb="FFEAD1DC"/>
        <bgColor rgb="FFEAD1DC"/>
      </patternFill>
    </fill>
    <fill>
      <patternFill patternType="solid">
        <fgColor rgb="FFB4A7D6"/>
        <bgColor rgb="FFB4A7D6"/>
      </patternFill>
    </fill>
    <fill>
      <patternFill patternType="solid">
        <fgColor rgb="FFC27BA0"/>
        <bgColor rgb="FFC27BA0"/>
      </patternFill>
    </fill>
    <fill>
      <patternFill patternType="solid">
        <fgColor rgb="FFD9EAD3"/>
        <bgColor rgb="FFD9EAD3"/>
      </patternFill>
    </fill>
    <fill>
      <patternFill patternType="solid">
        <fgColor rgb="FFFCE5CD"/>
        <bgColor rgb="FFFCE5CD"/>
      </patternFill>
    </fill>
    <fill>
      <patternFill patternType="solid">
        <fgColor rgb="FFFF9900"/>
        <bgColor rgb="FFFF9900"/>
      </patternFill>
    </fill>
    <fill>
      <patternFill patternType="solid">
        <fgColor rgb="FFFFFFFF"/>
        <bgColor rgb="FFFFFFFF"/>
      </patternFill>
    </fill>
    <fill>
      <patternFill patternType="solid">
        <fgColor rgb="FFFFC7CE"/>
      </patternFill>
    </fill>
    <fill>
      <patternFill patternType="solid">
        <fgColor rgb="FFFFEB9C"/>
      </patternFill>
    </fill>
    <fill>
      <patternFill patternType="solid">
        <fgColor rgb="FF00B0F0"/>
        <bgColor rgb="FFFFF2CC"/>
      </patternFill>
    </fill>
    <fill>
      <patternFill patternType="solid">
        <fgColor rgb="FF92D050"/>
        <bgColor indexed="64"/>
      </patternFill>
    </fill>
    <fill>
      <patternFill patternType="solid">
        <fgColor rgb="FFFFFF00"/>
        <bgColor indexed="64"/>
      </patternFill>
    </fill>
    <fill>
      <patternFill patternType="solid">
        <fgColor theme="9" tint="0.39997558519241921"/>
        <bgColor rgb="FFD8D8D8"/>
      </patternFill>
    </fill>
  </fills>
  <borders count="2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
      <left/>
      <right/>
      <top style="thin">
        <color indexed="64"/>
      </top>
      <bottom style="thin">
        <color indexed="64"/>
      </bottom>
      <diagonal/>
    </border>
    <border>
      <left style="thin">
        <color indexed="64"/>
      </left>
      <right/>
      <top style="thin">
        <color rgb="FF000000"/>
      </top>
      <bottom style="thin">
        <color rgb="FF000000"/>
      </bottom>
      <diagonal/>
    </border>
    <border>
      <left style="thin">
        <color indexed="64"/>
      </left>
      <right/>
      <top style="thin">
        <color indexed="64"/>
      </top>
      <bottom style="thin">
        <color indexed="64"/>
      </bottom>
      <diagonal/>
    </border>
  </borders>
  <cellStyleXfs count="5">
    <xf numFmtId="0" fontId="0" fillId="0" borderId="0"/>
    <xf numFmtId="9" fontId="15" fillId="0" borderId="0" applyFont="0" applyFill="0" applyBorder="0" applyAlignment="0" applyProtection="0"/>
    <xf numFmtId="0" fontId="16" fillId="15" borderId="0" applyNumberFormat="0" applyBorder="0" applyAlignment="0" applyProtection="0"/>
    <xf numFmtId="0" fontId="17" fillId="16" borderId="0" applyNumberFormat="0" applyBorder="0" applyAlignment="0" applyProtection="0"/>
    <xf numFmtId="0" fontId="29" fillId="0" borderId="0" applyNumberFormat="0" applyFill="0" applyBorder="0" applyAlignment="0" applyProtection="0"/>
  </cellStyleXfs>
  <cellXfs count="191">
    <xf numFmtId="0" fontId="0" fillId="0" borderId="0" xfId="0" applyFont="1" applyAlignment="1"/>
    <xf numFmtId="0" fontId="1" fillId="0" borderId="0" xfId="0" applyFont="1" applyAlignment="1">
      <alignment wrapText="1"/>
    </xf>
    <xf numFmtId="0" fontId="2" fillId="0" borderId="0" xfId="0" applyFont="1" applyAlignment="1">
      <alignment wrapText="1"/>
    </xf>
    <xf numFmtId="0" fontId="4" fillId="3" borderId="1" xfId="0" applyFont="1" applyFill="1" applyBorder="1" applyAlignment="1">
      <alignment horizontal="left" vertical="center" wrapText="1"/>
    </xf>
    <xf numFmtId="0" fontId="4" fillId="0" borderId="0" xfId="0" applyFont="1"/>
    <xf numFmtId="0" fontId="5" fillId="0" borderId="0" xfId="0" applyFont="1" applyAlignment="1">
      <alignment horizontal="left" wrapText="1"/>
    </xf>
    <xf numFmtId="0" fontId="3" fillId="0" borderId="0" xfId="0" applyFont="1" applyAlignment="1">
      <alignment horizontal="center"/>
    </xf>
    <xf numFmtId="0" fontId="6" fillId="0" borderId="1" xfId="0" applyFont="1" applyBorder="1" applyAlignment="1">
      <alignment horizontal="left" vertical="center"/>
    </xf>
    <xf numFmtId="0" fontId="10" fillId="0" borderId="0" xfId="0" applyFont="1" applyAlignment="1"/>
    <xf numFmtId="0" fontId="9" fillId="0" borderId="0" xfId="0" applyFont="1" applyAlignment="1"/>
    <xf numFmtId="164" fontId="10" fillId="0" borderId="0" xfId="0" applyNumberFormat="1" applyFont="1" applyAlignment="1"/>
    <xf numFmtId="0" fontId="9" fillId="7" borderId="0" xfId="0" applyFont="1" applyFill="1" applyAlignment="1"/>
    <xf numFmtId="0" fontId="8" fillId="0" borderId="0" xfId="0" applyFont="1" applyAlignment="1"/>
    <xf numFmtId="0" fontId="9" fillId="9" borderId="1" xfId="0" applyFont="1" applyFill="1" applyBorder="1" applyAlignment="1">
      <alignment horizontal="center" vertical="top" wrapText="1"/>
    </xf>
    <xf numFmtId="0" fontId="9" fillId="10" borderId="1" xfId="0" applyFont="1" applyFill="1" applyBorder="1" applyAlignment="1">
      <alignment horizontal="center" vertical="top" wrapText="1"/>
    </xf>
    <xf numFmtId="3" fontId="13" fillId="11" borderId="1" xfId="0" applyNumberFormat="1" applyFont="1" applyFill="1" applyBorder="1" applyAlignment="1">
      <alignment vertical="top"/>
    </xf>
    <xf numFmtId="165" fontId="13" fillId="12" borderId="1" xfId="0" applyNumberFormat="1" applyFont="1" applyFill="1" applyBorder="1" applyAlignment="1">
      <alignment vertical="top"/>
    </xf>
    <xf numFmtId="165" fontId="13" fillId="13" borderId="1" xfId="0" applyNumberFormat="1" applyFont="1" applyFill="1" applyBorder="1" applyAlignment="1">
      <alignment vertical="top"/>
    </xf>
    <xf numFmtId="0" fontId="7" fillId="0" borderId="0" xfId="0" applyFont="1"/>
    <xf numFmtId="0" fontId="7" fillId="7" borderId="11" xfId="0" applyFont="1" applyFill="1" applyBorder="1"/>
    <xf numFmtId="0" fontId="7" fillId="7" borderId="5" xfId="0" applyFont="1" applyFill="1" applyBorder="1" applyAlignment="1"/>
    <xf numFmtId="0" fontId="7" fillId="7" borderId="1" xfId="0" applyFont="1" applyFill="1" applyBorder="1" applyAlignment="1"/>
    <xf numFmtId="0" fontId="7" fillId="7" borderId="4" xfId="0" applyFont="1" applyFill="1" applyBorder="1" applyAlignment="1"/>
    <xf numFmtId="0" fontId="7" fillId="7" borderId="11" xfId="0" applyFont="1" applyFill="1" applyBorder="1" applyAlignment="1"/>
    <xf numFmtId="0" fontId="9" fillId="11" borderId="12" xfId="0" applyFont="1" applyFill="1" applyBorder="1" applyAlignment="1"/>
    <xf numFmtId="165" fontId="10" fillId="11" borderId="5" xfId="0" applyNumberFormat="1" applyFont="1" applyFill="1" applyBorder="1"/>
    <xf numFmtId="165" fontId="10" fillId="11" borderId="1" xfId="0" applyNumberFormat="1" applyFont="1" applyFill="1" applyBorder="1"/>
    <xf numFmtId="165" fontId="10" fillId="11" borderId="4" xfId="0" applyNumberFormat="1" applyFont="1" applyFill="1" applyBorder="1"/>
    <xf numFmtId="165" fontId="10" fillId="11" borderId="12" xfId="0" applyNumberFormat="1" applyFont="1" applyFill="1" applyBorder="1"/>
    <xf numFmtId="0" fontId="10" fillId="0" borderId="12" xfId="0" applyFont="1" applyBorder="1" applyAlignment="1"/>
    <xf numFmtId="165" fontId="10" fillId="0" borderId="5" xfId="0" applyNumberFormat="1" applyFont="1" applyBorder="1"/>
    <xf numFmtId="165" fontId="10" fillId="0" borderId="1" xfId="0" applyNumberFormat="1" applyFont="1" applyBorder="1"/>
    <xf numFmtId="165" fontId="10" fillId="0" borderId="4" xfId="0" applyNumberFormat="1" applyFont="1" applyBorder="1"/>
    <xf numFmtId="165" fontId="10" fillId="0" borderId="12" xfId="0" applyNumberFormat="1" applyFont="1" applyBorder="1"/>
    <xf numFmtId="0" fontId="10" fillId="0" borderId="12" xfId="0" applyFont="1" applyBorder="1" applyAlignment="1"/>
    <xf numFmtId="0" fontId="11" fillId="14" borderId="12" xfId="0" applyFont="1" applyFill="1" applyBorder="1" applyAlignment="1">
      <alignment horizontal="left"/>
    </xf>
    <xf numFmtId="165" fontId="14" fillId="0" borderId="5" xfId="0" applyNumberFormat="1" applyFont="1" applyBorder="1"/>
    <xf numFmtId="0" fontId="9" fillId="2" borderId="12" xfId="0" applyFont="1" applyFill="1" applyBorder="1" applyAlignment="1"/>
    <xf numFmtId="165" fontId="7" fillId="2" borderId="5" xfId="0" applyNumberFormat="1" applyFont="1" applyFill="1" applyBorder="1"/>
    <xf numFmtId="165" fontId="7" fillId="2" borderId="1" xfId="0" applyNumberFormat="1" applyFont="1" applyFill="1" applyBorder="1"/>
    <xf numFmtId="165" fontId="7" fillId="2" borderId="4" xfId="0" applyNumberFormat="1" applyFont="1" applyFill="1" applyBorder="1"/>
    <xf numFmtId="165" fontId="7" fillId="2" borderId="12" xfId="0" applyNumberFormat="1" applyFont="1" applyFill="1" applyBorder="1"/>
    <xf numFmtId="0" fontId="10" fillId="0" borderId="12" xfId="0" applyFont="1" applyBorder="1"/>
    <xf numFmtId="0" fontId="0" fillId="0" borderId="13" xfId="0" applyFont="1" applyBorder="1" applyAlignment="1"/>
    <xf numFmtId="0" fontId="14" fillId="0" borderId="13" xfId="0" applyFont="1" applyBorder="1"/>
    <xf numFmtId="0" fontId="14" fillId="0" borderId="13" xfId="0" applyFont="1" applyBorder="1" applyAlignment="1"/>
    <xf numFmtId="165" fontId="14" fillId="0" borderId="13" xfId="0" applyNumberFormat="1" applyFont="1" applyBorder="1"/>
    <xf numFmtId="165" fontId="2" fillId="0" borderId="1" xfId="0" applyNumberFormat="1" applyFont="1" applyBorder="1"/>
    <xf numFmtId="0" fontId="4" fillId="0" borderId="0" xfId="0" quotePrefix="1" applyFont="1" applyAlignment="1">
      <alignment horizontal="left" wrapText="1"/>
    </xf>
    <xf numFmtId="0" fontId="2" fillId="0" borderId="0" xfId="0" applyFont="1" applyFill="1" applyAlignment="1">
      <alignment wrapText="1"/>
    </xf>
    <xf numFmtId="0" fontId="0" fillId="0" borderId="0" xfId="0" applyFont="1" applyFill="1" applyAlignment="1"/>
    <xf numFmtId="0" fontId="2" fillId="0" borderId="12" xfId="0" applyFont="1" applyBorder="1" applyAlignment="1"/>
    <xf numFmtId="166" fontId="0" fillId="0" borderId="14" xfId="0" applyNumberFormat="1" applyFont="1" applyFill="1" applyBorder="1" applyAlignment="1"/>
    <xf numFmtId="0" fontId="9" fillId="10" borderId="5" xfId="0" applyFont="1" applyFill="1" applyBorder="1" applyAlignment="1">
      <alignment horizontal="center" vertical="top" wrapText="1"/>
    </xf>
    <xf numFmtId="3" fontId="13" fillId="11" borderId="5" xfId="0" applyNumberFormat="1" applyFont="1" applyFill="1" applyBorder="1" applyAlignment="1">
      <alignment vertical="top"/>
    </xf>
    <xf numFmtId="165" fontId="13" fillId="12" borderId="5" xfId="0" applyNumberFormat="1" applyFont="1" applyFill="1" applyBorder="1" applyAlignment="1">
      <alignment vertical="top"/>
    </xf>
    <xf numFmtId="165" fontId="13" fillId="13" borderId="5" xfId="0" applyNumberFormat="1" applyFont="1" applyFill="1" applyBorder="1" applyAlignment="1">
      <alignment vertical="top"/>
    </xf>
    <xf numFmtId="0" fontId="9" fillId="9" borderId="14" xfId="0" applyFont="1" applyFill="1" applyBorder="1" applyAlignment="1">
      <alignment horizontal="center" vertical="top" wrapText="1"/>
    </xf>
    <xf numFmtId="3" fontId="13" fillId="11" borderId="14" xfId="0" applyNumberFormat="1" applyFont="1" applyFill="1" applyBorder="1" applyAlignment="1">
      <alignment vertical="top"/>
    </xf>
    <xf numFmtId="165" fontId="13" fillId="12" borderId="14" xfId="0" applyNumberFormat="1" applyFont="1" applyFill="1" applyBorder="1" applyAlignment="1">
      <alignment vertical="top"/>
    </xf>
    <xf numFmtId="165" fontId="13" fillId="13" borderId="14" xfId="0" applyNumberFormat="1" applyFont="1" applyFill="1" applyBorder="1" applyAlignment="1">
      <alignment vertical="top"/>
    </xf>
    <xf numFmtId="0" fontId="9" fillId="0" borderId="13" xfId="0" applyFont="1" applyFill="1" applyBorder="1" applyAlignment="1">
      <alignment vertical="top" wrapText="1"/>
    </xf>
    <xf numFmtId="0" fontId="8" fillId="0" borderId="13" xfId="0" applyFont="1" applyFill="1" applyBorder="1" applyAlignment="1"/>
    <xf numFmtId="0" fontId="9" fillId="9" borderId="16" xfId="0" applyFont="1" applyFill="1" applyBorder="1" applyAlignment="1">
      <alignment horizontal="center" vertical="top" wrapText="1"/>
    </xf>
    <xf numFmtId="165" fontId="13" fillId="12" borderId="17" xfId="0" applyNumberFormat="1" applyFont="1" applyFill="1" applyBorder="1" applyAlignment="1">
      <alignment vertical="top"/>
    </xf>
    <xf numFmtId="0" fontId="16" fillId="15" borderId="1" xfId="2" applyBorder="1" applyAlignment="1">
      <alignment horizontal="left" vertical="center"/>
    </xf>
    <xf numFmtId="0" fontId="4" fillId="0" borderId="19" xfId="0" applyFont="1" applyFill="1" applyBorder="1" applyAlignment="1">
      <alignment horizontal="left" vertical="center" wrapText="1"/>
    </xf>
    <xf numFmtId="166" fontId="0" fillId="0" borderId="20" xfId="0" applyNumberFormat="1" applyFont="1" applyFill="1" applyBorder="1" applyAlignment="1"/>
    <xf numFmtId="166" fontId="0" fillId="0" borderId="21" xfId="0" applyNumberFormat="1" applyFont="1" applyFill="1" applyBorder="1" applyAlignment="1"/>
    <xf numFmtId="0" fontId="4" fillId="0" borderId="22" xfId="0" applyFont="1" applyFill="1" applyBorder="1" applyAlignment="1">
      <alignment horizontal="left" vertical="center" wrapText="1"/>
    </xf>
    <xf numFmtId="166" fontId="0" fillId="0" borderId="23" xfId="0" applyNumberFormat="1" applyFont="1" applyFill="1" applyBorder="1" applyAlignment="1"/>
    <xf numFmtId="0" fontId="18" fillId="16" borderId="0" xfId="3" applyFont="1" applyAlignment="1"/>
    <xf numFmtId="167" fontId="9" fillId="7" borderId="0" xfId="1" applyNumberFormat="1" applyFont="1" applyFill="1" applyAlignment="1"/>
    <xf numFmtId="164" fontId="10" fillId="0" borderId="5" xfId="0" applyNumberFormat="1" applyFont="1" applyBorder="1"/>
    <xf numFmtId="0" fontId="15" fillId="0" borderId="0" xfId="0" applyFont="1" applyAlignment="1"/>
    <xf numFmtId="0" fontId="0" fillId="0" borderId="0" xfId="0" applyFont="1" applyAlignment="1">
      <alignment wrapText="1"/>
    </xf>
    <xf numFmtId="0" fontId="20" fillId="4" borderId="1" xfId="0" applyFont="1" applyFill="1" applyBorder="1" applyAlignment="1">
      <alignment wrapText="1"/>
    </xf>
    <xf numFmtId="0" fontId="20" fillId="4" borderId="1" xfId="0" applyFont="1" applyFill="1" applyBorder="1" applyAlignment="1"/>
    <xf numFmtId="0" fontId="21" fillId="5" borderId="1" xfId="0" applyFont="1" applyFill="1" applyBorder="1" applyAlignment="1"/>
    <xf numFmtId="0" fontId="22" fillId="5" borderId="1" xfId="0" applyFont="1" applyFill="1" applyBorder="1"/>
    <xf numFmtId="0" fontId="12" fillId="5" borderId="1" xfId="0" applyFont="1" applyFill="1" applyBorder="1"/>
    <xf numFmtId="0" fontId="12" fillId="5" borderId="1" xfId="0" applyFont="1" applyFill="1" applyBorder="1" applyAlignment="1">
      <alignment wrapText="1"/>
    </xf>
    <xf numFmtId="0" fontId="12" fillId="0" borderId="1" xfId="0" applyFont="1" applyBorder="1"/>
    <xf numFmtId="0" fontId="12" fillId="0" borderId="1" xfId="0" applyFont="1" applyBorder="1" applyAlignment="1">
      <alignment wrapText="1"/>
    </xf>
    <xf numFmtId="164" fontId="12" fillId="0" borderId="1" xfId="0" applyNumberFormat="1" applyFont="1" applyBorder="1" applyAlignment="1"/>
    <xf numFmtId="9" fontId="12" fillId="0" borderId="1" xfId="1" applyFont="1" applyBorder="1" applyAlignment="1"/>
    <xf numFmtId="9" fontId="12" fillId="0" borderId="1" xfId="0" applyNumberFormat="1" applyFont="1" applyBorder="1" applyAlignment="1">
      <alignment horizontal="right"/>
    </xf>
    <xf numFmtId="9" fontId="12" fillId="0" borderId="1" xfId="0" applyNumberFormat="1" applyFont="1" applyBorder="1" applyAlignment="1">
      <alignment horizontal="left"/>
    </xf>
    <xf numFmtId="0" fontId="22" fillId="17" borderId="1" xfId="0" applyFont="1" applyFill="1" applyBorder="1" applyAlignment="1"/>
    <xf numFmtId="0" fontId="22" fillId="17" borderId="1" xfId="0" applyFont="1" applyFill="1" applyBorder="1"/>
    <xf numFmtId="0" fontId="12" fillId="17" borderId="1" xfId="0" applyFont="1" applyFill="1" applyBorder="1"/>
    <xf numFmtId="0" fontId="12" fillId="17" borderId="1" xfId="0" applyFont="1" applyFill="1" applyBorder="1" applyAlignment="1">
      <alignment wrapText="1"/>
    </xf>
    <xf numFmtId="0" fontId="9" fillId="17" borderId="1" xfId="0" applyFont="1" applyFill="1" applyBorder="1" applyAlignment="1"/>
    <xf numFmtId="0" fontId="9" fillId="17" borderId="1" xfId="0" applyFont="1" applyFill="1" applyBorder="1"/>
    <xf numFmtId="0" fontId="10" fillId="17" borderId="1" xfId="0" applyFont="1" applyFill="1" applyBorder="1"/>
    <xf numFmtId="0" fontId="10" fillId="17" borderId="1" xfId="0" applyFont="1" applyFill="1" applyBorder="1" applyAlignment="1">
      <alignment wrapText="1"/>
    </xf>
    <xf numFmtId="0" fontId="18" fillId="18" borderId="1" xfId="2" applyFont="1" applyFill="1" applyBorder="1" applyAlignment="1"/>
    <xf numFmtId="0" fontId="18" fillId="18" borderId="1" xfId="2" applyFont="1" applyFill="1" applyBorder="1"/>
    <xf numFmtId="0" fontId="18" fillId="18" borderId="1" xfId="2" applyFont="1" applyFill="1" applyBorder="1" applyAlignment="1">
      <alignment wrapText="1"/>
    </xf>
    <xf numFmtId="0" fontId="18" fillId="18" borderId="0" xfId="2" applyFont="1" applyFill="1"/>
    <xf numFmtId="164" fontId="18" fillId="18" borderId="1" xfId="2" applyNumberFormat="1" applyFont="1" applyFill="1" applyBorder="1" applyAlignment="1"/>
    <xf numFmtId="9" fontId="18" fillId="18" borderId="1" xfId="2" applyNumberFormat="1" applyFont="1" applyFill="1" applyBorder="1" applyAlignment="1">
      <alignment horizontal="right"/>
    </xf>
    <xf numFmtId="0" fontId="18" fillId="18" borderId="0" xfId="2" applyFont="1" applyFill="1" applyAlignment="1"/>
    <xf numFmtId="165" fontId="18" fillId="18" borderId="1" xfId="2" applyNumberFormat="1" applyFont="1" applyFill="1" applyBorder="1" applyAlignment="1"/>
    <xf numFmtId="167" fontId="18" fillId="18" borderId="1" xfId="2" applyNumberFormat="1" applyFont="1" applyFill="1" applyBorder="1" applyAlignment="1"/>
    <xf numFmtId="9" fontId="18" fillId="18" borderId="1" xfId="2" applyNumberFormat="1" applyFont="1" applyFill="1" applyBorder="1" applyAlignment="1"/>
    <xf numFmtId="0" fontId="22" fillId="0" borderId="0" xfId="0" applyFont="1" applyAlignment="1"/>
    <xf numFmtId="0" fontId="12" fillId="6" borderId="0" xfId="0" applyFont="1" applyFill="1" applyAlignment="1"/>
    <xf numFmtId="0" fontId="20" fillId="6" borderId="1" xfId="0" applyFont="1" applyFill="1" applyBorder="1" applyAlignment="1">
      <alignment horizontal="center"/>
    </xf>
    <xf numFmtId="0" fontId="20" fillId="6" borderId="1" xfId="0" applyFont="1" applyFill="1" applyBorder="1" applyAlignment="1"/>
    <xf numFmtId="0" fontId="12" fillId="0" borderId="0" xfId="0" applyFont="1" applyAlignment="1"/>
    <xf numFmtId="0" fontId="12" fillId="0" borderId="0" xfId="0" applyFont="1" applyAlignment="1">
      <alignment horizontal="left" vertical="center"/>
    </xf>
    <xf numFmtId="0" fontId="23" fillId="0" borderId="0" xfId="0" applyFont="1" applyAlignment="1">
      <alignment horizontal="left" vertical="center"/>
    </xf>
    <xf numFmtId="0" fontId="22" fillId="7" borderId="0" xfId="0" applyFont="1" applyFill="1" applyAlignment="1"/>
    <xf numFmtId="0" fontId="20" fillId="0" borderId="1" xfId="0" applyFont="1" applyBorder="1" applyAlignment="1"/>
    <xf numFmtId="0" fontId="22" fillId="8" borderId="0" xfId="0" applyFont="1" applyFill="1" applyAlignment="1"/>
    <xf numFmtId="0" fontId="20" fillId="0" borderId="13" xfId="0" applyFont="1" applyFill="1" applyBorder="1" applyAlignment="1"/>
    <xf numFmtId="0" fontId="12" fillId="0" borderId="0" xfId="0" applyFont="1" applyAlignment="1">
      <alignment horizontal="right"/>
    </xf>
    <xf numFmtId="0" fontId="12" fillId="0" borderId="1" xfId="0" applyFont="1" applyFill="1" applyBorder="1" applyAlignment="1">
      <alignment horizontal="right"/>
    </xf>
    <xf numFmtId="1" fontId="12" fillId="0" borderId="1" xfId="0" applyNumberFormat="1" applyFont="1" applyFill="1" applyBorder="1" applyAlignment="1">
      <alignment horizontal="right"/>
    </xf>
    <xf numFmtId="164" fontId="12" fillId="0" borderId="1" xfId="0" applyNumberFormat="1" applyFont="1" applyFill="1" applyBorder="1" applyAlignment="1">
      <alignment horizontal="right"/>
    </xf>
    <xf numFmtId="3" fontId="18" fillId="0" borderId="1" xfId="2" applyNumberFormat="1" applyFont="1" applyFill="1" applyBorder="1" applyAlignment="1">
      <alignment horizontal="right"/>
    </xf>
    <xf numFmtId="0" fontId="18" fillId="0" borderId="1" xfId="2" applyFont="1" applyFill="1" applyBorder="1" applyAlignment="1">
      <alignment horizontal="right"/>
    </xf>
    <xf numFmtId="1" fontId="18" fillId="0" borderId="1" xfId="2" applyNumberFormat="1" applyFont="1" applyFill="1" applyBorder="1" applyAlignment="1">
      <alignment horizontal="right"/>
    </xf>
    <xf numFmtId="165" fontId="18" fillId="0" borderId="1" xfId="2" applyNumberFormat="1" applyFont="1" applyFill="1" applyBorder="1" applyAlignment="1">
      <alignment horizontal="right"/>
    </xf>
    <xf numFmtId="0" fontId="20" fillId="0" borderId="4" xfId="0" applyFont="1" applyBorder="1" applyAlignment="1"/>
    <xf numFmtId="0" fontId="20" fillId="0" borderId="24" xfId="0" applyFont="1" applyBorder="1" applyAlignment="1"/>
    <xf numFmtId="0" fontId="0" fillId="0" borderId="0" xfId="0" applyFont="1" applyFill="1" applyAlignment="1">
      <alignment wrapText="1"/>
    </xf>
    <xf numFmtId="0" fontId="15" fillId="0" borderId="0" xfId="0" applyFont="1" applyAlignment="1">
      <alignment wrapText="1"/>
    </xf>
    <xf numFmtId="0" fontId="9" fillId="10" borderId="3" xfId="0" applyFont="1" applyFill="1" applyBorder="1" applyAlignment="1">
      <alignment horizontal="center" vertical="top" wrapText="1"/>
    </xf>
    <xf numFmtId="0" fontId="4" fillId="0" borderId="14" xfId="0" applyFont="1" applyFill="1" applyBorder="1" applyAlignment="1">
      <alignment horizontal="left" vertical="center" wrapText="1"/>
    </xf>
    <xf numFmtId="0" fontId="3" fillId="20" borderId="1" xfId="0" applyFont="1" applyFill="1" applyBorder="1" applyAlignment="1">
      <alignment horizontal="left" vertical="center" wrapText="1"/>
    </xf>
    <xf numFmtId="4" fontId="26" fillId="19" borderId="1" xfId="0" applyNumberFormat="1" applyFont="1" applyFill="1" applyBorder="1" applyAlignment="1">
      <alignment horizontal="right"/>
    </xf>
    <xf numFmtId="169" fontId="13" fillId="12" borderId="14" xfId="0" applyNumberFormat="1" applyFont="1" applyFill="1" applyBorder="1" applyAlignment="1">
      <alignment horizontal="right" vertical="top"/>
    </xf>
    <xf numFmtId="169" fontId="13" fillId="0" borderId="14" xfId="0" applyNumberFormat="1" applyFont="1" applyFill="1" applyBorder="1" applyAlignment="1">
      <alignment horizontal="right" vertical="top"/>
    </xf>
    <xf numFmtId="164" fontId="13" fillId="12" borderId="14" xfId="0" applyNumberFormat="1" applyFont="1" applyFill="1" applyBorder="1" applyAlignment="1">
      <alignment horizontal="right" vertical="top"/>
    </xf>
    <xf numFmtId="0" fontId="27" fillId="0" borderId="0" xfId="0" applyFont="1" applyAlignment="1"/>
    <xf numFmtId="0" fontId="12" fillId="0" borderId="13" xfId="0" applyFont="1" applyFill="1" applyBorder="1" applyAlignment="1">
      <alignment wrapText="1"/>
    </xf>
    <xf numFmtId="0" fontId="0" fillId="0" borderId="13" xfId="0" applyFont="1" applyFill="1" applyBorder="1" applyAlignment="1"/>
    <xf numFmtId="0" fontId="22" fillId="0" borderId="13" xfId="0" applyFont="1" applyFill="1" applyBorder="1" applyAlignment="1"/>
    <xf numFmtId="0" fontId="12" fillId="0" borderId="13" xfId="0" applyFont="1" applyFill="1" applyBorder="1"/>
    <xf numFmtId="0" fontId="12" fillId="0" borderId="13" xfId="0" applyFont="1" applyFill="1" applyBorder="1" applyAlignment="1">
      <alignment horizontal="right"/>
    </xf>
    <xf numFmtId="0" fontId="12" fillId="0" borderId="13" xfId="0" applyFont="1" applyFill="1" applyBorder="1" applyAlignment="1"/>
    <xf numFmtId="0" fontId="8" fillId="0" borderId="13" xfId="0" applyFont="1" applyFill="1" applyBorder="1"/>
    <xf numFmtId="10" fontId="12" fillId="0" borderId="13" xfId="0" applyNumberFormat="1" applyFont="1" applyFill="1" applyBorder="1"/>
    <xf numFmtId="10" fontId="8" fillId="0" borderId="13" xfId="0" applyNumberFormat="1" applyFont="1" applyFill="1" applyBorder="1"/>
    <xf numFmtId="10" fontId="12" fillId="0" borderId="13" xfId="0" applyNumberFormat="1" applyFont="1" applyFill="1" applyBorder="1" applyAlignment="1"/>
    <xf numFmtId="0" fontId="8" fillId="0" borderId="13" xfId="0" applyFont="1" applyFill="1" applyBorder="1" applyAlignment="1">
      <alignment wrapText="1"/>
    </xf>
    <xf numFmtId="166" fontId="28" fillId="12" borderId="4" xfId="0" applyNumberFormat="1" applyFont="1" applyFill="1" applyBorder="1" applyAlignment="1">
      <alignment horizontal="center" vertical="center"/>
    </xf>
    <xf numFmtId="166" fontId="28" fillId="0" borderId="14" xfId="0" applyNumberFormat="1" applyFont="1" applyBorder="1" applyAlignment="1">
      <alignment horizontal="center" vertical="center"/>
    </xf>
    <xf numFmtId="0" fontId="16" fillId="15" borderId="1" xfId="2" applyBorder="1" applyAlignment="1">
      <alignment horizontal="right"/>
    </xf>
    <xf numFmtId="3" fontId="16" fillId="15" borderId="1" xfId="2" applyNumberFormat="1" applyBorder="1" applyAlignment="1">
      <alignment horizontal="right"/>
    </xf>
    <xf numFmtId="166" fontId="16" fillId="15" borderId="1" xfId="2" applyNumberFormat="1" applyBorder="1" applyAlignment="1">
      <alignment horizontal="right"/>
    </xf>
    <xf numFmtId="168" fontId="16" fillId="15" borderId="1" xfId="2" applyNumberFormat="1" applyBorder="1" applyAlignment="1">
      <alignment horizontal="right"/>
    </xf>
    <xf numFmtId="164" fontId="16" fillId="15" borderId="1" xfId="2" applyNumberFormat="1" applyBorder="1" applyAlignment="1">
      <alignment horizontal="right"/>
    </xf>
    <xf numFmtId="9" fontId="16" fillId="15" borderId="14" xfId="2" applyNumberFormat="1" applyBorder="1" applyAlignment="1"/>
    <xf numFmtId="0" fontId="20" fillId="4" borderId="2" xfId="0" applyFont="1" applyFill="1" applyBorder="1"/>
    <xf numFmtId="0" fontId="8" fillId="0" borderId="3" xfId="0" applyFont="1" applyBorder="1"/>
    <xf numFmtId="0" fontId="8" fillId="0" borderId="6" xfId="0" applyFont="1" applyBorder="1"/>
    <xf numFmtId="0" fontId="8" fillId="0" borderId="7" xfId="0" applyFont="1" applyBorder="1"/>
    <xf numFmtId="0" fontId="20" fillId="4" borderId="4" xfId="0" applyFont="1" applyFill="1" applyBorder="1" applyAlignment="1"/>
    <xf numFmtId="0" fontId="8" fillId="0" borderId="5" xfId="0" applyFont="1" applyBorder="1"/>
    <xf numFmtId="9" fontId="16" fillId="15" borderId="14" xfId="2" applyNumberFormat="1" applyBorder="1" applyAlignment="1">
      <alignment horizontal="center"/>
    </xf>
    <xf numFmtId="10" fontId="16" fillId="15" borderId="14" xfId="2" applyNumberFormat="1" applyBorder="1" applyAlignment="1">
      <alignment horizontal="center"/>
    </xf>
    <xf numFmtId="0" fontId="7" fillId="9" borderId="25" xfId="0" applyFont="1" applyFill="1" applyBorder="1" applyAlignment="1">
      <alignment horizontal="center" vertical="top" wrapText="1"/>
    </xf>
    <xf numFmtId="0" fontId="7" fillId="9" borderId="15" xfId="0" applyFont="1" applyFill="1" applyBorder="1" applyAlignment="1">
      <alignment horizontal="center" vertical="top" wrapText="1"/>
    </xf>
    <xf numFmtId="0" fontId="7" fillId="10" borderId="26" xfId="0" applyFont="1" applyFill="1" applyBorder="1" applyAlignment="1">
      <alignment horizontal="center" vertical="top" wrapText="1"/>
    </xf>
    <xf numFmtId="0" fontId="7" fillId="10" borderId="8" xfId="0" applyFont="1" applyFill="1" applyBorder="1" applyAlignment="1">
      <alignment horizontal="center" vertical="top" wrapText="1"/>
    </xf>
    <xf numFmtId="0" fontId="7" fillId="10" borderId="5" xfId="0" applyFont="1" applyFill="1" applyBorder="1" applyAlignment="1">
      <alignment horizontal="center" vertical="top" wrapText="1"/>
    </xf>
    <xf numFmtId="9" fontId="16" fillId="15" borderId="1" xfId="2" applyNumberFormat="1" applyBorder="1" applyAlignment="1"/>
    <xf numFmtId="0" fontId="7" fillId="9" borderId="27" xfId="0" applyFont="1" applyFill="1" applyBorder="1" applyAlignment="1">
      <alignment horizontal="center" vertical="top" wrapText="1"/>
    </xf>
    <xf numFmtId="0" fontId="19" fillId="0" borderId="13" xfId="0" applyFont="1" applyFill="1" applyBorder="1" applyAlignment="1">
      <alignment horizontal="center" wrapText="1"/>
    </xf>
    <xf numFmtId="0" fontId="30" fillId="0" borderId="0" xfId="0" applyFont="1" applyAlignment="1">
      <alignment wrapText="1"/>
    </xf>
    <xf numFmtId="0" fontId="31" fillId="0" borderId="0" xfId="0" applyFont="1" applyAlignment="1">
      <alignment wrapText="1"/>
    </xf>
    <xf numFmtId="0" fontId="32" fillId="0" borderId="0" xfId="4" applyFont="1" applyAlignment="1">
      <alignment wrapText="1"/>
    </xf>
    <xf numFmtId="0" fontId="3" fillId="0" borderId="18" xfId="0" applyFont="1" applyFill="1" applyBorder="1" applyAlignment="1">
      <alignment horizontal="left" vertical="center" wrapText="1"/>
    </xf>
    <xf numFmtId="0" fontId="9" fillId="0" borderId="0" xfId="0" applyFont="1" applyFill="1" applyAlignment="1"/>
    <xf numFmtId="0" fontId="7" fillId="0" borderId="14" xfId="0" applyFont="1" applyFill="1" applyBorder="1" applyAlignment="1">
      <alignment vertical="top"/>
    </xf>
    <xf numFmtId="0" fontId="7" fillId="0" borderId="14" xfId="0" applyFont="1" applyFill="1" applyBorder="1" applyAlignment="1">
      <alignment vertical="top" textRotation="90"/>
    </xf>
    <xf numFmtId="0" fontId="8" fillId="0" borderId="14" xfId="0" applyFont="1" applyFill="1" applyBorder="1" applyAlignment="1">
      <alignment textRotation="90"/>
    </xf>
    <xf numFmtId="0" fontId="7" fillId="0" borderId="9" xfId="0" applyFont="1" applyFill="1" applyBorder="1" applyAlignment="1">
      <alignment vertical="top" textRotation="90"/>
    </xf>
    <xf numFmtId="0" fontId="7" fillId="0" borderId="6" xfId="0" applyFont="1" applyFill="1" applyBorder="1" applyAlignment="1">
      <alignment vertical="top"/>
    </xf>
    <xf numFmtId="0" fontId="8" fillId="0" borderId="9" xfId="0" applyFont="1" applyFill="1" applyBorder="1" applyAlignment="1">
      <alignment textRotation="90"/>
    </xf>
    <xf numFmtId="0" fontId="7" fillId="0" borderId="4" xfId="0" applyFont="1" applyFill="1" applyBorder="1" applyAlignment="1">
      <alignment vertical="top"/>
    </xf>
    <xf numFmtId="0" fontId="8" fillId="0" borderId="10" xfId="0" applyFont="1" applyFill="1" applyBorder="1" applyAlignment="1">
      <alignment textRotation="90"/>
    </xf>
    <xf numFmtId="0" fontId="15" fillId="0" borderId="13" xfId="0" quotePrefix="1" applyFont="1" applyFill="1" applyBorder="1" applyAlignment="1">
      <alignment wrapText="1"/>
    </xf>
    <xf numFmtId="165" fontId="14" fillId="0" borderId="13" xfId="0" applyNumberFormat="1" applyFont="1" applyFill="1" applyBorder="1"/>
    <xf numFmtId="0" fontId="20" fillId="0" borderId="1" xfId="0" applyFont="1" applyBorder="1"/>
    <xf numFmtId="0" fontId="20" fillId="0" borderId="0" xfId="0" applyFont="1"/>
    <xf numFmtId="9" fontId="20" fillId="0" borderId="1" xfId="0" applyNumberFormat="1" applyFont="1" applyBorder="1" applyAlignment="1">
      <alignment horizontal="right"/>
    </xf>
    <xf numFmtId="0" fontId="37" fillId="0" borderId="0" xfId="0" applyFont="1" applyAlignment="1">
      <alignment wrapText="1"/>
    </xf>
  </cellXfs>
  <cellStyles count="5">
    <cellStyle name="Bad" xfId="2" builtinId="27"/>
    <cellStyle name="Hyperlink" xfId="4" builtinId="8"/>
    <cellStyle name="Neutral" xfId="3" builtinId="2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76200</xdr:rowOff>
    </xdr:from>
    <xdr:to>
      <xdr:col>0</xdr:col>
      <xdr:colOff>6943725</xdr:colOff>
      <xdr:row>19</xdr:row>
      <xdr:rowOff>86360</xdr:rowOff>
    </xdr:to>
    <xdr:pic>
      <xdr:nvPicPr>
        <xdr:cNvPr id="2" name="Picture 1"/>
        <xdr:cNvPicPr>
          <a:picLocks noChangeAspect="1"/>
        </xdr:cNvPicPr>
      </xdr:nvPicPr>
      <xdr:blipFill>
        <a:blip xmlns:r="http://schemas.openxmlformats.org/officeDocument/2006/relationships" r:embed="rId1"/>
        <a:stretch>
          <a:fillRect/>
        </a:stretch>
      </xdr:blipFill>
      <xdr:spPr>
        <a:xfrm>
          <a:off x="9525" y="533400"/>
          <a:ext cx="6934200" cy="389636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itc.trec.pdx.edu/research/project/1268/Applying_an_Equity_Lens_to_Automated_Payment_Solutions_for_Public_Transportatio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3"/>
  <sheetViews>
    <sheetView tabSelected="1" workbookViewId="0">
      <selection activeCell="A31" sqref="A31"/>
    </sheetView>
  </sheetViews>
  <sheetFormatPr defaultRowHeight="18" x14ac:dyDescent="0.25"/>
  <cols>
    <col min="1" max="1" width="126.5" style="172" customWidth="1"/>
  </cols>
  <sheetData>
    <row r="2" spans="1:1" x14ac:dyDescent="0.25">
      <c r="A2" s="173" t="s">
        <v>206</v>
      </c>
    </row>
    <row r="21" spans="1:1" x14ac:dyDescent="0.25">
      <c r="A21" s="173" t="s">
        <v>163</v>
      </c>
    </row>
    <row r="22" spans="1:1" x14ac:dyDescent="0.25">
      <c r="A22" s="172" t="s">
        <v>196</v>
      </c>
    </row>
    <row r="23" spans="1:1" ht="36" x14ac:dyDescent="0.25">
      <c r="A23" s="174" t="s">
        <v>194</v>
      </c>
    </row>
    <row r="24" spans="1:1" x14ac:dyDescent="0.25">
      <c r="A24" s="172" t="s">
        <v>212</v>
      </c>
    </row>
    <row r="25" spans="1:1" x14ac:dyDescent="0.25">
      <c r="A25" s="172" t="s">
        <v>200</v>
      </c>
    </row>
    <row r="26" spans="1:1" x14ac:dyDescent="0.25">
      <c r="A26" s="172" t="s">
        <v>207</v>
      </c>
    </row>
    <row r="28" spans="1:1" x14ac:dyDescent="0.25">
      <c r="A28" s="173" t="s">
        <v>201</v>
      </c>
    </row>
    <row r="29" spans="1:1" x14ac:dyDescent="0.25">
      <c r="A29" s="172" t="s">
        <v>204</v>
      </c>
    </row>
    <row r="30" spans="1:1" ht="54" x14ac:dyDescent="0.25">
      <c r="A30" s="172" t="s">
        <v>205</v>
      </c>
    </row>
    <row r="31" spans="1:1" ht="75" customHeight="1" x14ac:dyDescent="0.25">
      <c r="A31" s="172" t="s">
        <v>213</v>
      </c>
    </row>
    <row r="33" spans="1:1" ht="18.75" x14ac:dyDescent="0.3">
      <c r="A33" s="190" t="s">
        <v>208</v>
      </c>
    </row>
  </sheetData>
  <hyperlinks>
    <hyperlink ref="A23" r:id="rId1"/>
  </hyperlinks>
  <pageMargins left="0.7" right="0.7" top="0.75" bottom="0.75" header="0.3" footer="0.3"/>
  <pageSetup orientation="portrait" horizontalDpi="1200" verticalDpi="1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27"/>
  <sheetViews>
    <sheetView topLeftCell="A88" workbookViewId="0">
      <selection activeCell="E6" sqref="E6"/>
    </sheetView>
  </sheetViews>
  <sheetFormatPr defaultColWidth="12.625" defaultRowHeight="15" customHeight="1" x14ac:dyDescent="0.2"/>
  <cols>
    <col min="1" max="1" width="60.375" customWidth="1"/>
  </cols>
  <sheetData>
    <row r="1" spans="1:12" x14ac:dyDescent="0.25">
      <c r="A1" s="11" t="str">
        <f>'Case &amp; Scenario Parameters'!A47</f>
        <v>Scenario 4</v>
      </c>
      <c r="B1" s="11" t="str">
        <f>'Case &amp; Scenario Parameters'!B47</f>
        <v>Full service</v>
      </c>
      <c r="C1" s="11" t="str">
        <f>'Case &amp; Scenario Parameters'!C47</f>
        <v>No cash</v>
      </c>
    </row>
    <row r="2" spans="1:12" x14ac:dyDescent="0.25">
      <c r="A2" s="11" t="str">
        <f>'Case &amp; Scenario Parameters'!A48</f>
        <v>Fareboxes</v>
      </c>
      <c r="B2" s="72">
        <f>'Case &amp; Scenario Parameters'!B48</f>
        <v>1</v>
      </c>
      <c r="C2" s="72">
        <f>'Case &amp; Scenario Parameters'!C48</f>
        <v>0</v>
      </c>
    </row>
    <row r="3" spans="1:12" x14ac:dyDescent="0.25">
      <c r="A3" s="11" t="str">
        <f>'Case &amp; Scenario Parameters'!A49</f>
        <v>Ticket Vending Machines</v>
      </c>
      <c r="B3" s="72">
        <f>'Case &amp; Scenario Parameters'!B49</f>
        <v>1</v>
      </c>
      <c r="C3" s="72">
        <f>'Case &amp; Scenario Parameters'!C49</f>
        <v>0</v>
      </c>
    </row>
    <row r="4" spans="1:12" x14ac:dyDescent="0.25">
      <c r="A4" s="11" t="str">
        <f>'Case &amp; Scenario Parameters'!A50</f>
        <v>Share of existing riders able to use system```</v>
      </c>
      <c r="B4" s="72">
        <f>'Case &amp; Scenario Parameters'!B50</f>
        <v>1</v>
      </c>
      <c r="C4" s="72"/>
    </row>
    <row r="5" spans="1:12" ht="15" customHeight="1" x14ac:dyDescent="0.25">
      <c r="A5" s="11" t="str">
        <f>'Case &amp; Scenario Parameters'!A51</f>
        <v>Percentage of Revene as Cash Handled by Agency</v>
      </c>
      <c r="B5" s="72">
        <f>'Case &amp; Scenario Parameters'!B51</f>
        <v>0.12</v>
      </c>
      <c r="C5" s="72"/>
    </row>
    <row r="6" spans="1:12" ht="15" customHeight="1" x14ac:dyDescent="0.25">
      <c r="A6" s="11" t="str">
        <f>'Case &amp; Scenario Parameters'!A52</f>
        <v>Percentage of Revene as Retail</v>
      </c>
      <c r="B6" s="72">
        <f>'Case &amp; Scenario Parameters'!B52</f>
        <v>7.0000000000000007E-2</v>
      </c>
      <c r="C6" s="72"/>
    </row>
    <row r="7" spans="1:12" ht="15" customHeight="1" x14ac:dyDescent="0.25">
      <c r="A7" s="9"/>
      <c r="B7" s="9"/>
      <c r="C7" s="9"/>
    </row>
    <row r="8" spans="1:12" x14ac:dyDescent="0.25">
      <c r="A8" s="9" t="s">
        <v>109</v>
      </c>
    </row>
    <row r="9" spans="1:12" x14ac:dyDescent="0.25">
      <c r="A9" s="9"/>
    </row>
    <row r="10" spans="1:12" ht="15.75" thickBot="1" x14ac:dyDescent="0.3">
      <c r="A10" s="71" t="s">
        <v>145</v>
      </c>
      <c r="C10" s="18"/>
      <c r="D10" s="18"/>
      <c r="E10" s="18"/>
      <c r="F10" s="18"/>
      <c r="G10" s="18"/>
      <c r="H10" s="18"/>
      <c r="I10" s="18"/>
      <c r="J10" s="18"/>
      <c r="K10" s="18"/>
    </row>
    <row r="11" spans="1:12" x14ac:dyDescent="0.25">
      <c r="A11" s="19"/>
      <c r="B11" s="20" t="s">
        <v>77</v>
      </c>
      <c r="C11" s="21" t="s">
        <v>78</v>
      </c>
      <c r="D11" s="21" t="s">
        <v>79</v>
      </c>
      <c r="E11" s="21" t="s">
        <v>80</v>
      </c>
      <c r="F11" s="21" t="s">
        <v>81</v>
      </c>
      <c r="G11" s="21" t="s">
        <v>82</v>
      </c>
      <c r="H11" s="21" t="s">
        <v>83</v>
      </c>
      <c r="I11" s="21" t="s">
        <v>84</v>
      </c>
      <c r="J11" s="21" t="s">
        <v>85</v>
      </c>
      <c r="K11" s="22" t="s">
        <v>88</v>
      </c>
      <c r="L11" s="23" t="s">
        <v>55</v>
      </c>
    </row>
    <row r="12" spans="1:12" x14ac:dyDescent="0.25">
      <c r="A12" s="24" t="s">
        <v>4</v>
      </c>
      <c r="B12" s="25"/>
      <c r="C12" s="26"/>
      <c r="D12" s="26"/>
      <c r="E12" s="26"/>
      <c r="F12" s="26"/>
      <c r="G12" s="26"/>
      <c r="H12" s="26"/>
      <c r="I12" s="26"/>
      <c r="J12" s="26"/>
      <c r="K12" s="27"/>
      <c r="L12" s="28"/>
    </row>
    <row r="13" spans="1:12" x14ac:dyDescent="0.25">
      <c r="A13" s="24" t="s">
        <v>10</v>
      </c>
      <c r="B13" s="25"/>
      <c r="C13" s="26"/>
      <c r="D13" s="26"/>
      <c r="E13" s="26"/>
      <c r="F13" s="26"/>
      <c r="G13" s="26"/>
      <c r="H13" s="26"/>
      <c r="I13" s="26"/>
      <c r="J13" s="26"/>
      <c r="K13" s="27"/>
      <c r="L13" s="28"/>
    </row>
    <row r="14" spans="1:12" x14ac:dyDescent="0.25">
      <c r="A14" s="34" t="s">
        <v>58</v>
      </c>
      <c r="B14" s="30"/>
      <c r="C14" s="31"/>
      <c r="D14" s="31"/>
      <c r="E14" s="31"/>
      <c r="F14" s="31"/>
      <c r="G14" s="31"/>
      <c r="H14" s="31"/>
      <c r="I14" s="31"/>
      <c r="J14" s="31"/>
      <c r="K14" s="32"/>
      <c r="L14" s="33"/>
    </row>
    <row r="15" spans="1:12" x14ac:dyDescent="0.25">
      <c r="A15" s="34" t="s">
        <v>89</v>
      </c>
      <c r="B15" s="30">
        <f>('Case &amp; Scenario Parameters'!$B$7*'Unit Prices'!$C$7*$B$2)+('Case &amp; Scenario Parameters'!$B$7*'Unit Prices'!$C$8*$C$2)</f>
        <v>4550000</v>
      </c>
      <c r="C15" s="31"/>
      <c r="D15" s="31"/>
      <c r="E15" s="31"/>
      <c r="F15" s="31"/>
      <c r="G15" s="31"/>
      <c r="H15" s="31"/>
      <c r="I15" s="31"/>
      <c r="J15" s="31"/>
      <c r="K15" s="32"/>
      <c r="L15" s="33">
        <f t="shared" ref="L15:L20" si="0">SUM(B15:K15)</f>
        <v>4550000</v>
      </c>
    </row>
    <row r="16" spans="1:12" x14ac:dyDescent="0.25">
      <c r="A16" s="34" t="s">
        <v>90</v>
      </c>
      <c r="B16" s="30">
        <f>('Case &amp; Scenario Parameters'!$C$7*'Unit Prices'!$C$7*$B$2)+('Case &amp; Scenario Parameters'!$C$7*'Unit Prices'!$C$8*$C$2)</f>
        <v>0</v>
      </c>
      <c r="C16" s="31"/>
      <c r="D16" s="31"/>
      <c r="E16" s="31"/>
      <c r="F16" s="31"/>
      <c r="G16" s="31"/>
      <c r="H16" s="31"/>
      <c r="I16" s="31"/>
      <c r="J16" s="31"/>
      <c r="K16" s="32"/>
      <c r="L16" s="33">
        <f t="shared" si="0"/>
        <v>0</v>
      </c>
    </row>
    <row r="17" spans="1:12" x14ac:dyDescent="0.25">
      <c r="A17" s="35" t="s">
        <v>91</v>
      </c>
      <c r="B17" s="30">
        <f>('Case &amp; Scenario Parameters'!$D$7*'Unit Prices'!$C$7*$B$2)+('Case &amp; Scenario Parameters'!$D$7*'Unit Prices'!$C$8*$C$2)</f>
        <v>0</v>
      </c>
      <c r="C17" s="31"/>
      <c r="D17" s="31"/>
      <c r="E17" s="31"/>
      <c r="F17" s="31"/>
      <c r="G17" s="31"/>
      <c r="H17" s="31"/>
      <c r="I17" s="31"/>
      <c r="J17" s="31"/>
      <c r="K17" s="32"/>
      <c r="L17" s="33">
        <f t="shared" si="0"/>
        <v>0</v>
      </c>
    </row>
    <row r="18" spans="1:12" x14ac:dyDescent="0.25">
      <c r="A18" s="34" t="s">
        <v>92</v>
      </c>
      <c r="B18" s="30">
        <f>('Case &amp; Scenario Parameters'!$E$7*'Unit Prices'!$C$7*$B$2)+('Case &amp; Scenario Parameters'!$E$7*'Unit Prices'!$C$8*$C$2)</f>
        <v>238000</v>
      </c>
      <c r="C18" s="31"/>
      <c r="D18" s="31"/>
      <c r="E18" s="31"/>
      <c r="F18" s="31"/>
      <c r="G18" s="31"/>
      <c r="H18" s="31"/>
      <c r="I18" s="31"/>
      <c r="J18" s="31"/>
      <c r="K18" s="32"/>
      <c r="L18" s="33">
        <f t="shared" si="0"/>
        <v>238000</v>
      </c>
    </row>
    <row r="19" spans="1:12" x14ac:dyDescent="0.25">
      <c r="A19" s="34" t="s">
        <v>93</v>
      </c>
      <c r="B19" s="30">
        <f>('Case &amp; Scenario Parameters'!$F$7*'Unit Prices'!$C$7*$B$2)+('Case &amp; Scenario Parameters'!$F$7*'Unit Prices'!$C$8*$C$2)</f>
        <v>0</v>
      </c>
      <c r="C19" s="31"/>
      <c r="D19" s="31"/>
      <c r="E19" s="31"/>
      <c r="F19" s="31"/>
      <c r="G19" s="31"/>
      <c r="H19" s="47" t="s">
        <v>113</v>
      </c>
      <c r="I19" s="31"/>
      <c r="J19" s="31"/>
      <c r="K19" s="32"/>
      <c r="L19" s="33">
        <f t="shared" si="0"/>
        <v>0</v>
      </c>
    </row>
    <row r="20" spans="1:12" x14ac:dyDescent="0.25">
      <c r="A20" s="34" t="s">
        <v>94</v>
      </c>
      <c r="B20" s="30">
        <f>SUM(B15:B19)*'Unit Prices'!$C$9</f>
        <v>143640</v>
      </c>
      <c r="C20" s="31"/>
      <c r="D20" s="31"/>
      <c r="E20" s="31"/>
      <c r="F20" s="31"/>
      <c r="G20" s="31"/>
      <c r="H20" s="31"/>
      <c r="I20" s="31"/>
      <c r="J20" s="31"/>
      <c r="K20" s="32"/>
      <c r="L20" s="33">
        <f t="shared" si="0"/>
        <v>143640</v>
      </c>
    </row>
    <row r="21" spans="1:12" x14ac:dyDescent="0.25">
      <c r="A21" s="34" t="s">
        <v>59</v>
      </c>
      <c r="B21" s="30"/>
      <c r="C21" s="31"/>
      <c r="D21" s="31"/>
      <c r="E21" s="31"/>
      <c r="F21" s="31"/>
      <c r="G21" s="31"/>
      <c r="H21" s="31"/>
      <c r="I21" s="31"/>
      <c r="J21" s="31"/>
      <c r="K21" s="32"/>
      <c r="L21" s="33"/>
    </row>
    <row r="22" spans="1:12" x14ac:dyDescent="0.25">
      <c r="A22" s="34" t="s">
        <v>89</v>
      </c>
      <c r="B22" s="30">
        <f>('Case &amp; Scenario Parameters'!$B$10*'Unit Prices'!$C$11*$B$3)+('Case &amp; Scenario Parameters'!$B$10*'Unit Prices'!$C$12*$C$3)</f>
        <v>1170000</v>
      </c>
      <c r="C22" s="31"/>
      <c r="D22" s="31"/>
      <c r="E22" s="31"/>
      <c r="F22" s="31"/>
      <c r="G22" s="31"/>
      <c r="H22" s="31"/>
      <c r="I22" s="31"/>
      <c r="J22" s="31"/>
      <c r="K22" s="32"/>
      <c r="L22" s="33">
        <f t="shared" ref="L22:L27" si="1">SUM(B22:K22)</f>
        <v>1170000</v>
      </c>
    </row>
    <row r="23" spans="1:12" x14ac:dyDescent="0.25">
      <c r="A23" s="34" t="s">
        <v>90</v>
      </c>
      <c r="B23" s="30">
        <f>('Case &amp; Scenario Parameters'!$C$10*'Unit Prices'!$C$11*$B$3)+('Case &amp; Scenario Parameters'!$C$10*'Unit Prices'!$C$12*$C$3)</f>
        <v>13650000</v>
      </c>
      <c r="C23" s="31"/>
      <c r="D23" s="31"/>
      <c r="E23" s="31"/>
      <c r="F23" s="31"/>
      <c r="G23" s="31"/>
      <c r="H23" s="31"/>
      <c r="I23" s="31"/>
      <c r="J23" s="31"/>
      <c r="K23" s="32"/>
      <c r="L23" s="33">
        <f t="shared" si="1"/>
        <v>13650000</v>
      </c>
    </row>
    <row r="24" spans="1:12" x14ac:dyDescent="0.25">
      <c r="A24" s="35" t="s">
        <v>91</v>
      </c>
      <c r="B24" s="30">
        <f>('Case &amp; Scenario Parameters'!$D$10*'Unit Prices'!$C$11*$B$3)+('Case &amp; Scenario Parameters'!$D$10*'Unit Prices'!$C$12*$C$3)</f>
        <v>650000</v>
      </c>
      <c r="C24" s="31"/>
      <c r="D24" s="31"/>
      <c r="E24" s="31"/>
      <c r="F24" s="31"/>
      <c r="G24" s="31"/>
      <c r="H24" s="31"/>
      <c r="I24" s="31"/>
      <c r="J24" s="31"/>
      <c r="K24" s="32"/>
      <c r="L24" s="33">
        <f t="shared" si="1"/>
        <v>650000</v>
      </c>
    </row>
    <row r="25" spans="1:12" x14ac:dyDescent="0.25">
      <c r="A25" s="34" t="s">
        <v>92</v>
      </c>
      <c r="B25" s="30">
        <f>('Case &amp; Scenario Parameters'!$E$10*'Unit Prices'!$C$11*$B$3)+('Case &amp; Scenario Parameters'!$E$10*'Unit Prices'!$C$12*$C$3)</f>
        <v>0</v>
      </c>
      <c r="C25" s="31"/>
      <c r="D25" s="31"/>
      <c r="E25" s="31"/>
      <c r="F25" s="31"/>
      <c r="G25" s="31"/>
      <c r="H25" s="31"/>
      <c r="I25" s="31"/>
      <c r="J25" s="31"/>
      <c r="K25" s="32"/>
      <c r="L25" s="33">
        <f t="shared" si="1"/>
        <v>0</v>
      </c>
    </row>
    <row r="26" spans="1:12" x14ac:dyDescent="0.25">
      <c r="A26" s="34" t="s">
        <v>93</v>
      </c>
      <c r="B26" s="30">
        <f>('Case &amp; Scenario Parameters'!$F$10*'Unit Prices'!$C$11*$B$3)+('Case &amp; Scenario Parameters'!$F$10*'Unit Prices'!$C$12*$C$3)</f>
        <v>0</v>
      </c>
      <c r="C26" s="31"/>
      <c r="D26" s="31"/>
      <c r="E26" s="31"/>
      <c r="F26" s="31"/>
      <c r="G26" s="31"/>
      <c r="H26" s="31"/>
      <c r="I26" s="31"/>
      <c r="J26" s="31"/>
      <c r="K26" s="32"/>
      <c r="L26" s="33">
        <f t="shared" si="1"/>
        <v>0</v>
      </c>
    </row>
    <row r="27" spans="1:12" x14ac:dyDescent="0.25">
      <c r="A27" s="34" t="s">
        <v>95</v>
      </c>
      <c r="B27" s="30">
        <f>SUM(B22:B26)*'Unit Prices'!$C$13</f>
        <v>464100</v>
      </c>
      <c r="C27" s="31"/>
      <c r="D27" s="31"/>
      <c r="E27" s="31"/>
      <c r="F27" s="31"/>
      <c r="G27" s="31"/>
      <c r="H27" s="31"/>
      <c r="I27" s="31"/>
      <c r="J27" s="31"/>
      <c r="K27" s="32"/>
      <c r="L27" s="33">
        <f t="shared" si="1"/>
        <v>464100</v>
      </c>
    </row>
    <row r="28" spans="1:12" x14ac:dyDescent="0.25">
      <c r="A28" s="34" t="s">
        <v>96</v>
      </c>
      <c r="B28" s="30"/>
      <c r="C28" s="31"/>
      <c r="D28" s="31"/>
      <c r="E28" s="31"/>
      <c r="F28" s="31"/>
      <c r="G28" s="31"/>
      <c r="H28" s="31"/>
      <c r="I28" s="31"/>
      <c r="J28" s="31"/>
      <c r="K28" s="32"/>
      <c r="L28" s="33"/>
    </row>
    <row r="29" spans="1:12" x14ac:dyDescent="0.25">
      <c r="A29" s="34" t="s">
        <v>97</v>
      </c>
      <c r="B29" s="30">
        <f>'Case &amp; Scenario Parameters'!$G$4*'Case &amp; Scenario Parameters'!$B$22*'Unit Prices'!$C$15*'Case &amp; Scenario Parameters'!$B$60</f>
        <v>25272</v>
      </c>
      <c r="C29" s="31"/>
      <c r="D29" s="31"/>
      <c r="E29" s="31"/>
      <c r="F29" s="31"/>
      <c r="G29" s="31"/>
      <c r="H29" s="31"/>
      <c r="I29" s="31"/>
      <c r="J29" s="31"/>
      <c r="K29" s="32"/>
      <c r="L29" s="33">
        <f t="shared" ref="L29:L38" si="2">SUM(B29:K29)</f>
        <v>25272</v>
      </c>
    </row>
    <row r="30" spans="1:12" x14ac:dyDescent="0.25">
      <c r="A30" s="34" t="s">
        <v>98</v>
      </c>
      <c r="B30" s="30">
        <f>'Case &amp; Scenario Parameters'!$G$4*'Case &amp; Scenario Parameters'!$B$22*'Unit Prices'!$C$16*'Case &amp; Scenario Parameters'!$B$60</f>
        <v>473850</v>
      </c>
      <c r="C30" s="31"/>
      <c r="D30" s="31"/>
      <c r="E30" s="31"/>
      <c r="F30" s="31"/>
      <c r="G30" s="31"/>
      <c r="H30" s="31"/>
      <c r="I30" s="31"/>
      <c r="J30" s="31"/>
      <c r="K30" s="32"/>
      <c r="L30" s="33">
        <f t="shared" si="2"/>
        <v>473850</v>
      </c>
    </row>
    <row r="31" spans="1:12" x14ac:dyDescent="0.25">
      <c r="A31" s="34" t="s">
        <v>99</v>
      </c>
      <c r="B31" s="30">
        <f>'Unit Prices'!$C$17</f>
        <v>100000</v>
      </c>
      <c r="C31" s="31"/>
      <c r="D31" s="31"/>
      <c r="E31" s="31"/>
      <c r="F31" s="31"/>
      <c r="G31" s="31"/>
      <c r="H31" s="31"/>
      <c r="I31" s="31"/>
      <c r="J31" s="31"/>
      <c r="K31" s="32"/>
      <c r="L31" s="33">
        <f t="shared" si="2"/>
        <v>100000</v>
      </c>
    </row>
    <row r="32" spans="1:12" x14ac:dyDescent="0.25">
      <c r="A32" s="34" t="s">
        <v>100</v>
      </c>
      <c r="B32" s="30">
        <f>($B$15+$B$16+$B$17+$B$18+$B$19+$B$22+$B$23+$B$24+$B$25+$B$26)*'Unit Prices'!$C$18</f>
        <v>2025800</v>
      </c>
      <c r="C32" s="31"/>
      <c r="D32" s="31"/>
      <c r="E32" s="31"/>
      <c r="F32" s="31"/>
      <c r="G32" s="31"/>
      <c r="H32" s="31"/>
      <c r="I32" s="31"/>
      <c r="J32" s="31"/>
      <c r="K32" s="32"/>
      <c r="L32" s="33">
        <f t="shared" si="2"/>
        <v>2025800</v>
      </c>
    </row>
    <row r="33" spans="1:12" x14ac:dyDescent="0.25">
      <c r="A33" s="34" t="s">
        <v>101</v>
      </c>
      <c r="B33" s="30">
        <f>($B$15+$B$16+$B$17+$B$18+$B$19+$B$22+$B$23+$B$24+$B$25+$B$26)*'Unit Prices'!$C$19</f>
        <v>2025800</v>
      </c>
      <c r="C33" s="31"/>
      <c r="D33" s="31"/>
      <c r="E33" s="31"/>
      <c r="F33" s="31"/>
      <c r="G33" s="31"/>
      <c r="H33" s="31"/>
      <c r="I33" s="31"/>
      <c r="J33" s="31"/>
      <c r="K33" s="32"/>
      <c r="L33" s="33">
        <f t="shared" si="2"/>
        <v>2025800</v>
      </c>
    </row>
    <row r="34" spans="1:12" x14ac:dyDescent="0.25">
      <c r="A34" s="34" t="s">
        <v>5</v>
      </c>
      <c r="B34" s="30">
        <f>'Unit Prices'!$C$20</f>
        <v>300000</v>
      </c>
      <c r="C34" s="31"/>
      <c r="D34" s="31"/>
      <c r="E34" s="31"/>
      <c r="F34" s="31"/>
      <c r="G34" s="31"/>
      <c r="H34" s="31"/>
      <c r="I34" s="31"/>
      <c r="J34" s="31"/>
      <c r="K34" s="32"/>
      <c r="L34" s="33">
        <f t="shared" si="2"/>
        <v>300000</v>
      </c>
    </row>
    <row r="35" spans="1:12" x14ac:dyDescent="0.25">
      <c r="A35" s="34" t="s">
        <v>102</v>
      </c>
      <c r="B35" s="30">
        <f>'Unit Prices'!$C$21</f>
        <v>35000</v>
      </c>
      <c r="C35" s="31"/>
      <c r="D35" s="31"/>
      <c r="E35" s="31"/>
      <c r="F35" s="31"/>
      <c r="G35" s="31"/>
      <c r="H35" s="31"/>
      <c r="I35" s="31"/>
      <c r="J35" s="31"/>
      <c r="K35" s="32"/>
      <c r="L35" s="33">
        <f t="shared" si="2"/>
        <v>35000</v>
      </c>
    </row>
    <row r="36" spans="1:12" x14ac:dyDescent="0.25">
      <c r="A36" s="34" t="s">
        <v>103</v>
      </c>
      <c r="B36" s="30">
        <f>'Unit Prices'!$C$22</f>
        <v>200000</v>
      </c>
      <c r="C36" s="31"/>
      <c r="D36" s="31"/>
      <c r="E36" s="31"/>
      <c r="F36" s="31"/>
      <c r="G36" s="31"/>
      <c r="H36" s="31"/>
      <c r="I36" s="31"/>
      <c r="J36" s="31"/>
      <c r="K36" s="32"/>
      <c r="L36" s="33">
        <f t="shared" si="2"/>
        <v>200000</v>
      </c>
    </row>
    <row r="37" spans="1:12" x14ac:dyDescent="0.25">
      <c r="A37" s="34" t="s">
        <v>104</v>
      </c>
      <c r="B37" s="30">
        <f>'Unit Prices'!$C$23</f>
        <v>300000</v>
      </c>
      <c r="C37" s="31"/>
      <c r="D37" s="31"/>
      <c r="E37" s="31"/>
      <c r="F37" s="31"/>
      <c r="G37" s="31"/>
      <c r="H37" s="31"/>
      <c r="I37" s="31"/>
      <c r="J37" s="31"/>
      <c r="K37" s="32"/>
      <c r="L37" s="33">
        <f t="shared" si="2"/>
        <v>300000</v>
      </c>
    </row>
    <row r="38" spans="1:12" x14ac:dyDescent="0.25">
      <c r="A38" s="34" t="s">
        <v>33</v>
      </c>
      <c r="B38" s="30">
        <f>SUM(B15:B37)*'Unit Prices'!$C$25</f>
        <v>2635146.2000000002</v>
      </c>
      <c r="C38" s="31"/>
      <c r="D38" s="31"/>
      <c r="E38" s="31"/>
      <c r="F38" s="31"/>
      <c r="G38" s="31"/>
      <c r="H38" s="31"/>
      <c r="I38" s="31"/>
      <c r="J38" s="31"/>
      <c r="K38" s="32"/>
      <c r="L38" s="33">
        <f t="shared" si="2"/>
        <v>2635146.2000000002</v>
      </c>
    </row>
    <row r="39" spans="1:12" x14ac:dyDescent="0.25">
      <c r="A39" s="24" t="s">
        <v>105</v>
      </c>
      <c r="B39" s="25"/>
      <c r="C39" s="26"/>
      <c r="D39" s="26"/>
      <c r="E39" s="26"/>
      <c r="F39" s="26"/>
      <c r="G39" s="26"/>
      <c r="H39" s="26"/>
      <c r="I39" s="26"/>
      <c r="J39" s="26"/>
      <c r="K39" s="27"/>
      <c r="L39" s="28"/>
    </row>
    <row r="40" spans="1:12" x14ac:dyDescent="0.25">
      <c r="A40" s="34" t="s">
        <v>106</v>
      </c>
      <c r="B40" s="30"/>
      <c r="C40" s="31">
        <f>($B$15+$B$16+$B$17+$B$18+$B$19+$B$22+$B$23+$B$24+$B$25+$B$26)*'Unit Prices'!$C$28</f>
        <v>1012900</v>
      </c>
      <c r="D40" s="31">
        <f t="shared" ref="D40:K40" si="3">C40</f>
        <v>1012900</v>
      </c>
      <c r="E40" s="31">
        <f t="shared" si="3"/>
        <v>1012900</v>
      </c>
      <c r="F40" s="31">
        <f t="shared" si="3"/>
        <v>1012900</v>
      </c>
      <c r="G40" s="31">
        <f t="shared" si="3"/>
        <v>1012900</v>
      </c>
      <c r="H40" s="31">
        <f t="shared" si="3"/>
        <v>1012900</v>
      </c>
      <c r="I40" s="31">
        <f t="shared" si="3"/>
        <v>1012900</v>
      </c>
      <c r="J40" s="31">
        <f t="shared" si="3"/>
        <v>1012900</v>
      </c>
      <c r="K40" s="31">
        <f t="shared" si="3"/>
        <v>1012900</v>
      </c>
      <c r="L40" s="33">
        <f t="shared" ref="L40:L61" si="4">SUM(B40:K40)</f>
        <v>9116100</v>
      </c>
    </row>
    <row r="41" spans="1:12" x14ac:dyDescent="0.25">
      <c r="A41" s="34" t="s">
        <v>107</v>
      </c>
      <c r="B41" s="30"/>
      <c r="C41" s="31"/>
      <c r="D41" s="31">
        <f t="shared" ref="D41:K56" si="5">C41</f>
        <v>0</v>
      </c>
      <c r="E41" s="31">
        <f t="shared" si="5"/>
        <v>0</v>
      </c>
      <c r="F41" s="31">
        <f t="shared" si="5"/>
        <v>0</v>
      </c>
      <c r="G41" s="31">
        <f t="shared" si="5"/>
        <v>0</v>
      </c>
      <c r="H41" s="31">
        <f t="shared" si="5"/>
        <v>0</v>
      </c>
      <c r="I41" s="31">
        <f t="shared" si="5"/>
        <v>0</v>
      </c>
      <c r="J41" s="31">
        <f t="shared" si="5"/>
        <v>0</v>
      </c>
      <c r="K41" s="31">
        <f t="shared" si="5"/>
        <v>0</v>
      </c>
      <c r="L41" s="33">
        <f t="shared" si="4"/>
        <v>0</v>
      </c>
    </row>
    <row r="42" spans="1:12" x14ac:dyDescent="0.25">
      <c r="A42" s="34" t="s">
        <v>89</v>
      </c>
      <c r="B42" s="30"/>
      <c r="C42" s="31">
        <f>B15*'Case &amp; Scenario Parameters'!$B$59</f>
        <v>227500</v>
      </c>
      <c r="D42" s="31">
        <f t="shared" si="5"/>
        <v>227500</v>
      </c>
      <c r="E42" s="31">
        <f t="shared" si="5"/>
        <v>227500</v>
      </c>
      <c r="F42" s="31">
        <f t="shared" si="5"/>
        <v>227500</v>
      </c>
      <c r="G42" s="31">
        <f t="shared" si="5"/>
        <v>227500</v>
      </c>
      <c r="H42" s="31">
        <f t="shared" si="5"/>
        <v>227500</v>
      </c>
      <c r="I42" s="31">
        <f t="shared" si="5"/>
        <v>227500</v>
      </c>
      <c r="J42" s="31">
        <f t="shared" si="5"/>
        <v>227500</v>
      </c>
      <c r="K42" s="31">
        <f t="shared" si="5"/>
        <v>227500</v>
      </c>
      <c r="L42" s="33">
        <f t="shared" si="4"/>
        <v>2047500</v>
      </c>
    </row>
    <row r="43" spans="1:12" x14ac:dyDescent="0.25">
      <c r="A43" s="34" t="s">
        <v>90</v>
      </c>
      <c r="B43" s="30"/>
      <c r="C43" s="31">
        <f>B16*'Case &amp; Scenario Parameters'!$B$59</f>
        <v>0</v>
      </c>
      <c r="D43" s="31">
        <f t="shared" si="5"/>
        <v>0</v>
      </c>
      <c r="E43" s="31">
        <f t="shared" si="5"/>
        <v>0</v>
      </c>
      <c r="F43" s="31">
        <f t="shared" si="5"/>
        <v>0</v>
      </c>
      <c r="G43" s="31">
        <f t="shared" si="5"/>
        <v>0</v>
      </c>
      <c r="H43" s="31">
        <f t="shared" si="5"/>
        <v>0</v>
      </c>
      <c r="I43" s="31">
        <f t="shared" si="5"/>
        <v>0</v>
      </c>
      <c r="J43" s="31">
        <f t="shared" si="5"/>
        <v>0</v>
      </c>
      <c r="K43" s="31">
        <f t="shared" si="5"/>
        <v>0</v>
      </c>
      <c r="L43" s="33">
        <f t="shared" si="4"/>
        <v>0</v>
      </c>
    </row>
    <row r="44" spans="1:12" x14ac:dyDescent="0.25">
      <c r="A44" s="35" t="s">
        <v>91</v>
      </c>
      <c r="B44" s="30"/>
      <c r="C44" s="31">
        <f>B17*'Case &amp; Scenario Parameters'!$B$59</f>
        <v>0</v>
      </c>
      <c r="D44" s="31">
        <f t="shared" si="5"/>
        <v>0</v>
      </c>
      <c r="E44" s="31">
        <f t="shared" si="5"/>
        <v>0</v>
      </c>
      <c r="F44" s="31">
        <f t="shared" si="5"/>
        <v>0</v>
      </c>
      <c r="G44" s="31">
        <f t="shared" si="5"/>
        <v>0</v>
      </c>
      <c r="H44" s="31">
        <f t="shared" si="5"/>
        <v>0</v>
      </c>
      <c r="I44" s="31">
        <f t="shared" si="5"/>
        <v>0</v>
      </c>
      <c r="J44" s="31">
        <f t="shared" si="5"/>
        <v>0</v>
      </c>
      <c r="K44" s="31">
        <f t="shared" si="5"/>
        <v>0</v>
      </c>
      <c r="L44" s="33">
        <f t="shared" si="4"/>
        <v>0</v>
      </c>
    </row>
    <row r="45" spans="1:12" x14ac:dyDescent="0.25">
      <c r="A45" s="34" t="s">
        <v>92</v>
      </c>
      <c r="B45" s="30"/>
      <c r="C45" s="31">
        <f>B18*'Case &amp; Scenario Parameters'!$B$59</f>
        <v>11900</v>
      </c>
      <c r="D45" s="31">
        <f t="shared" si="5"/>
        <v>11900</v>
      </c>
      <c r="E45" s="31">
        <f t="shared" si="5"/>
        <v>11900</v>
      </c>
      <c r="F45" s="31">
        <f t="shared" si="5"/>
        <v>11900</v>
      </c>
      <c r="G45" s="31">
        <f t="shared" si="5"/>
        <v>11900</v>
      </c>
      <c r="H45" s="31">
        <f t="shared" si="5"/>
        <v>11900</v>
      </c>
      <c r="I45" s="31">
        <f t="shared" si="5"/>
        <v>11900</v>
      </c>
      <c r="J45" s="31">
        <f t="shared" si="5"/>
        <v>11900</v>
      </c>
      <c r="K45" s="31">
        <f t="shared" si="5"/>
        <v>11900</v>
      </c>
      <c r="L45" s="33">
        <f t="shared" si="4"/>
        <v>107100</v>
      </c>
    </row>
    <row r="46" spans="1:12" x14ac:dyDescent="0.25">
      <c r="A46" s="34" t="s">
        <v>93</v>
      </c>
      <c r="B46" s="30"/>
      <c r="C46" s="31">
        <f>B19*'Case &amp; Scenario Parameters'!$B$59</f>
        <v>0</v>
      </c>
      <c r="D46" s="31">
        <f t="shared" si="5"/>
        <v>0</v>
      </c>
      <c r="E46" s="31">
        <f t="shared" si="5"/>
        <v>0</v>
      </c>
      <c r="F46" s="31">
        <f t="shared" si="5"/>
        <v>0</v>
      </c>
      <c r="G46" s="31">
        <f t="shared" si="5"/>
        <v>0</v>
      </c>
      <c r="H46" s="31">
        <f t="shared" si="5"/>
        <v>0</v>
      </c>
      <c r="I46" s="31">
        <f t="shared" si="5"/>
        <v>0</v>
      </c>
      <c r="J46" s="31">
        <f t="shared" si="5"/>
        <v>0</v>
      </c>
      <c r="K46" s="31">
        <f t="shared" si="5"/>
        <v>0</v>
      </c>
      <c r="L46" s="33">
        <f t="shared" si="4"/>
        <v>0</v>
      </c>
    </row>
    <row r="47" spans="1:12" x14ac:dyDescent="0.25">
      <c r="A47" s="34" t="s">
        <v>94</v>
      </c>
      <c r="B47" s="30"/>
      <c r="C47" s="31">
        <f>SUM(C42:C46)*'Unit Prices'!$C$9</f>
        <v>7182</v>
      </c>
      <c r="D47" s="31">
        <f t="shared" si="5"/>
        <v>7182</v>
      </c>
      <c r="E47" s="31">
        <f t="shared" si="5"/>
        <v>7182</v>
      </c>
      <c r="F47" s="31">
        <f t="shared" si="5"/>
        <v>7182</v>
      </c>
      <c r="G47" s="31">
        <f t="shared" si="5"/>
        <v>7182</v>
      </c>
      <c r="H47" s="31">
        <f t="shared" si="5"/>
        <v>7182</v>
      </c>
      <c r="I47" s="31">
        <f t="shared" si="5"/>
        <v>7182</v>
      </c>
      <c r="J47" s="31">
        <f t="shared" si="5"/>
        <v>7182</v>
      </c>
      <c r="K47" s="31">
        <f t="shared" si="5"/>
        <v>7182</v>
      </c>
      <c r="L47" s="33">
        <f t="shared" si="4"/>
        <v>64638</v>
      </c>
    </row>
    <row r="48" spans="1:12" x14ac:dyDescent="0.25">
      <c r="A48" s="51" t="s">
        <v>153</v>
      </c>
      <c r="B48" s="30"/>
      <c r="C48" s="31"/>
      <c r="D48" s="31">
        <f t="shared" si="5"/>
        <v>0</v>
      </c>
      <c r="E48" s="31">
        <f t="shared" si="5"/>
        <v>0</v>
      </c>
      <c r="F48" s="31">
        <f t="shared" si="5"/>
        <v>0</v>
      </c>
      <c r="G48" s="31">
        <f t="shared" si="5"/>
        <v>0</v>
      </c>
      <c r="H48" s="31">
        <f t="shared" si="5"/>
        <v>0</v>
      </c>
      <c r="I48" s="31">
        <f t="shared" si="5"/>
        <v>0</v>
      </c>
      <c r="J48" s="31">
        <f t="shared" si="5"/>
        <v>0</v>
      </c>
      <c r="K48" s="31">
        <f t="shared" si="5"/>
        <v>0</v>
      </c>
      <c r="L48" s="33">
        <f t="shared" si="4"/>
        <v>0</v>
      </c>
    </row>
    <row r="49" spans="1:12" x14ac:dyDescent="0.25">
      <c r="A49" s="34" t="s">
        <v>89</v>
      </c>
      <c r="B49" s="30"/>
      <c r="C49" s="31">
        <f>B22*'Case &amp; Scenario Parameters'!$B$59</f>
        <v>58500</v>
      </c>
      <c r="D49" s="31">
        <f t="shared" si="5"/>
        <v>58500</v>
      </c>
      <c r="E49" s="31">
        <f t="shared" si="5"/>
        <v>58500</v>
      </c>
      <c r="F49" s="31">
        <f t="shared" si="5"/>
        <v>58500</v>
      </c>
      <c r="G49" s="31">
        <f t="shared" si="5"/>
        <v>58500</v>
      </c>
      <c r="H49" s="31">
        <f t="shared" si="5"/>
        <v>58500</v>
      </c>
      <c r="I49" s="31">
        <f t="shared" si="5"/>
        <v>58500</v>
      </c>
      <c r="J49" s="31">
        <f t="shared" si="5"/>
        <v>58500</v>
      </c>
      <c r="K49" s="31">
        <f t="shared" si="5"/>
        <v>58500</v>
      </c>
      <c r="L49" s="33">
        <f t="shared" si="4"/>
        <v>526500</v>
      </c>
    </row>
    <row r="50" spans="1:12" x14ac:dyDescent="0.25">
      <c r="A50" s="34" t="s">
        <v>90</v>
      </c>
      <c r="B50" s="30"/>
      <c r="C50" s="31">
        <f>B23*'Case &amp; Scenario Parameters'!$B$59</f>
        <v>682500</v>
      </c>
      <c r="D50" s="31">
        <f t="shared" si="5"/>
        <v>682500</v>
      </c>
      <c r="E50" s="31">
        <f t="shared" si="5"/>
        <v>682500</v>
      </c>
      <c r="F50" s="31">
        <f t="shared" si="5"/>
        <v>682500</v>
      </c>
      <c r="G50" s="31">
        <f t="shared" si="5"/>
        <v>682500</v>
      </c>
      <c r="H50" s="31">
        <f t="shared" si="5"/>
        <v>682500</v>
      </c>
      <c r="I50" s="31">
        <f t="shared" si="5"/>
        <v>682500</v>
      </c>
      <c r="J50" s="31">
        <f t="shared" si="5"/>
        <v>682500</v>
      </c>
      <c r="K50" s="31">
        <f t="shared" si="5"/>
        <v>682500</v>
      </c>
      <c r="L50" s="33">
        <f t="shared" si="4"/>
        <v>6142500</v>
      </c>
    </row>
    <row r="51" spans="1:12" x14ac:dyDescent="0.25">
      <c r="A51" s="35" t="s">
        <v>91</v>
      </c>
      <c r="B51" s="30"/>
      <c r="C51" s="31">
        <f>B24*'Case &amp; Scenario Parameters'!$B$59</f>
        <v>32500</v>
      </c>
      <c r="D51" s="31">
        <f t="shared" si="5"/>
        <v>32500</v>
      </c>
      <c r="E51" s="31">
        <f t="shared" si="5"/>
        <v>32500</v>
      </c>
      <c r="F51" s="31">
        <f t="shared" si="5"/>
        <v>32500</v>
      </c>
      <c r="G51" s="31">
        <f t="shared" si="5"/>
        <v>32500</v>
      </c>
      <c r="H51" s="31">
        <f t="shared" si="5"/>
        <v>32500</v>
      </c>
      <c r="I51" s="31">
        <f t="shared" si="5"/>
        <v>32500</v>
      </c>
      <c r="J51" s="31">
        <f t="shared" si="5"/>
        <v>32500</v>
      </c>
      <c r="K51" s="31">
        <f t="shared" si="5"/>
        <v>32500</v>
      </c>
      <c r="L51" s="33">
        <f t="shared" si="4"/>
        <v>292500</v>
      </c>
    </row>
    <row r="52" spans="1:12" x14ac:dyDescent="0.25">
      <c r="A52" s="34" t="s">
        <v>92</v>
      </c>
      <c r="B52" s="30"/>
      <c r="C52" s="31">
        <f>B25*'Case &amp; Scenario Parameters'!$B$59</f>
        <v>0</v>
      </c>
      <c r="D52" s="31">
        <f t="shared" si="5"/>
        <v>0</v>
      </c>
      <c r="E52" s="31">
        <f t="shared" si="5"/>
        <v>0</v>
      </c>
      <c r="F52" s="31">
        <f t="shared" si="5"/>
        <v>0</v>
      </c>
      <c r="G52" s="31">
        <f t="shared" si="5"/>
        <v>0</v>
      </c>
      <c r="H52" s="31">
        <f t="shared" si="5"/>
        <v>0</v>
      </c>
      <c r="I52" s="31">
        <f t="shared" si="5"/>
        <v>0</v>
      </c>
      <c r="J52" s="31">
        <f t="shared" si="5"/>
        <v>0</v>
      </c>
      <c r="K52" s="31">
        <f t="shared" si="5"/>
        <v>0</v>
      </c>
      <c r="L52" s="33">
        <f t="shared" si="4"/>
        <v>0</v>
      </c>
    </row>
    <row r="53" spans="1:12" x14ac:dyDescent="0.25">
      <c r="A53" s="34" t="s">
        <v>93</v>
      </c>
      <c r="B53" s="30"/>
      <c r="C53" s="31">
        <f>B26*'Case &amp; Scenario Parameters'!$B$59</f>
        <v>0</v>
      </c>
      <c r="D53" s="31">
        <f t="shared" si="5"/>
        <v>0</v>
      </c>
      <c r="E53" s="31">
        <f t="shared" si="5"/>
        <v>0</v>
      </c>
      <c r="F53" s="31">
        <f t="shared" si="5"/>
        <v>0</v>
      </c>
      <c r="G53" s="31">
        <f t="shared" si="5"/>
        <v>0</v>
      </c>
      <c r="H53" s="31">
        <f t="shared" si="5"/>
        <v>0</v>
      </c>
      <c r="I53" s="31">
        <f t="shared" si="5"/>
        <v>0</v>
      </c>
      <c r="J53" s="31">
        <f t="shared" si="5"/>
        <v>0</v>
      </c>
      <c r="K53" s="31">
        <f t="shared" si="5"/>
        <v>0</v>
      </c>
      <c r="L53" s="33">
        <f t="shared" si="4"/>
        <v>0</v>
      </c>
    </row>
    <row r="54" spans="1:12" x14ac:dyDescent="0.25">
      <c r="A54" s="34" t="s">
        <v>95</v>
      </c>
      <c r="B54" s="30"/>
      <c r="C54" s="31">
        <f>SUM(C49:C53)*'Unit Prices'!$C$13</f>
        <v>23205</v>
      </c>
      <c r="D54" s="31">
        <f t="shared" si="5"/>
        <v>23205</v>
      </c>
      <c r="E54" s="31">
        <f t="shared" si="5"/>
        <v>23205</v>
      </c>
      <c r="F54" s="31">
        <f t="shared" si="5"/>
        <v>23205</v>
      </c>
      <c r="G54" s="31">
        <f t="shared" si="5"/>
        <v>23205</v>
      </c>
      <c r="H54" s="31">
        <f t="shared" si="5"/>
        <v>23205</v>
      </c>
      <c r="I54" s="31">
        <f t="shared" si="5"/>
        <v>23205</v>
      </c>
      <c r="J54" s="31">
        <f t="shared" si="5"/>
        <v>23205</v>
      </c>
      <c r="K54" s="31">
        <f t="shared" si="5"/>
        <v>23205</v>
      </c>
      <c r="L54" s="33">
        <f t="shared" si="4"/>
        <v>208845</v>
      </c>
    </row>
    <row r="55" spans="1:12" x14ac:dyDescent="0.25">
      <c r="A55" s="51" t="s">
        <v>154</v>
      </c>
      <c r="B55" s="30"/>
      <c r="C55" s="31"/>
      <c r="D55" s="31">
        <f t="shared" si="5"/>
        <v>0</v>
      </c>
      <c r="E55" s="31">
        <f t="shared" si="5"/>
        <v>0</v>
      </c>
      <c r="F55" s="31">
        <f t="shared" si="5"/>
        <v>0</v>
      </c>
      <c r="G55" s="31">
        <f t="shared" si="5"/>
        <v>0</v>
      </c>
      <c r="H55" s="31">
        <f t="shared" si="5"/>
        <v>0</v>
      </c>
      <c r="I55" s="31">
        <f t="shared" si="5"/>
        <v>0</v>
      </c>
      <c r="J55" s="31">
        <f t="shared" si="5"/>
        <v>0</v>
      </c>
      <c r="K55" s="31">
        <f t="shared" si="5"/>
        <v>0</v>
      </c>
      <c r="L55" s="33">
        <f t="shared" si="4"/>
        <v>0</v>
      </c>
    </row>
    <row r="56" spans="1:12" x14ac:dyDescent="0.25">
      <c r="A56" s="34" t="s">
        <v>97</v>
      </c>
      <c r="B56" s="30"/>
      <c r="C56" s="31">
        <f>B29*'Case &amp; Scenario Parameters'!$B$61</f>
        <v>2527.2000000000003</v>
      </c>
      <c r="D56" s="31">
        <f t="shared" si="5"/>
        <v>2527.2000000000003</v>
      </c>
      <c r="E56" s="31">
        <f t="shared" si="5"/>
        <v>2527.2000000000003</v>
      </c>
      <c r="F56" s="31">
        <f t="shared" si="5"/>
        <v>2527.2000000000003</v>
      </c>
      <c r="G56" s="31">
        <f t="shared" si="5"/>
        <v>2527.2000000000003</v>
      </c>
      <c r="H56" s="31">
        <f t="shared" si="5"/>
        <v>2527.2000000000003</v>
      </c>
      <c r="I56" s="31">
        <f t="shared" si="5"/>
        <v>2527.2000000000003</v>
      </c>
      <c r="J56" s="31">
        <f t="shared" si="5"/>
        <v>2527.2000000000003</v>
      </c>
      <c r="K56" s="31">
        <f t="shared" si="5"/>
        <v>2527.2000000000003</v>
      </c>
      <c r="L56" s="33">
        <f t="shared" si="4"/>
        <v>22744.800000000003</v>
      </c>
    </row>
    <row r="57" spans="1:12" x14ac:dyDescent="0.25">
      <c r="A57" s="34" t="s">
        <v>98</v>
      </c>
      <c r="B57" s="30"/>
      <c r="C57" s="31">
        <f>B30*'Case &amp; Scenario Parameters'!$B$61</f>
        <v>47385</v>
      </c>
      <c r="D57" s="31">
        <f t="shared" ref="D57:K60" si="6">C57</f>
        <v>47385</v>
      </c>
      <c r="E57" s="31">
        <f t="shared" si="6"/>
        <v>47385</v>
      </c>
      <c r="F57" s="31">
        <f t="shared" si="6"/>
        <v>47385</v>
      </c>
      <c r="G57" s="31">
        <f t="shared" si="6"/>
        <v>47385</v>
      </c>
      <c r="H57" s="31">
        <f t="shared" si="6"/>
        <v>47385</v>
      </c>
      <c r="I57" s="31">
        <f t="shared" si="6"/>
        <v>47385</v>
      </c>
      <c r="J57" s="31">
        <f t="shared" si="6"/>
        <v>47385</v>
      </c>
      <c r="K57" s="31">
        <f t="shared" si="6"/>
        <v>47385</v>
      </c>
      <c r="L57" s="33">
        <f t="shared" si="4"/>
        <v>426465</v>
      </c>
    </row>
    <row r="58" spans="1:12" x14ac:dyDescent="0.25">
      <c r="A58" s="34" t="s">
        <v>108</v>
      </c>
      <c r="B58" s="30"/>
      <c r="C58" s="31">
        <f>SUM(C40:C57)*'Unit Prices'!$C$37</f>
        <v>210609.92000000004</v>
      </c>
      <c r="D58" s="31">
        <f t="shared" si="6"/>
        <v>210609.92000000004</v>
      </c>
      <c r="E58" s="31">
        <f t="shared" si="6"/>
        <v>210609.92000000004</v>
      </c>
      <c r="F58" s="31">
        <f t="shared" si="6"/>
        <v>210609.92000000004</v>
      </c>
      <c r="G58" s="31">
        <f t="shared" si="6"/>
        <v>210609.92000000004</v>
      </c>
      <c r="H58" s="31">
        <f t="shared" si="6"/>
        <v>210609.92000000004</v>
      </c>
      <c r="I58" s="31">
        <f t="shared" si="6"/>
        <v>210609.92000000004</v>
      </c>
      <c r="J58" s="31">
        <f t="shared" si="6"/>
        <v>210609.92000000004</v>
      </c>
      <c r="K58" s="31">
        <f t="shared" si="6"/>
        <v>210609.92000000004</v>
      </c>
      <c r="L58" s="33">
        <f t="shared" si="4"/>
        <v>1895489.2799999998</v>
      </c>
    </row>
    <row r="59" spans="1:12" x14ac:dyDescent="0.25">
      <c r="A59" s="51" t="s">
        <v>135</v>
      </c>
      <c r="B59" s="36">
        <f>B$63*$B$5*'Unit Prices'!$C$38</f>
        <v>662100</v>
      </c>
      <c r="C59" s="36">
        <f>B59</f>
        <v>662100</v>
      </c>
      <c r="D59" s="36">
        <f t="shared" si="6"/>
        <v>662100</v>
      </c>
      <c r="E59" s="36">
        <f t="shared" si="6"/>
        <v>662100</v>
      </c>
      <c r="F59" s="36">
        <f t="shared" si="6"/>
        <v>662100</v>
      </c>
      <c r="G59" s="36">
        <f t="shared" si="6"/>
        <v>662100</v>
      </c>
      <c r="H59" s="36">
        <f t="shared" si="6"/>
        <v>662100</v>
      </c>
      <c r="I59" s="36">
        <f t="shared" si="6"/>
        <v>662100</v>
      </c>
      <c r="J59" s="36">
        <f t="shared" si="6"/>
        <v>662100</v>
      </c>
      <c r="K59" s="36">
        <f t="shared" si="6"/>
        <v>662100</v>
      </c>
      <c r="L59" s="33">
        <f t="shared" si="4"/>
        <v>6621000</v>
      </c>
    </row>
    <row r="60" spans="1:12" x14ac:dyDescent="0.25">
      <c r="A60" s="51" t="s">
        <v>136</v>
      </c>
      <c r="B60" s="30">
        <f>B$63*'Unit Prices'!$C$39*$B$6</f>
        <v>386225.00000000006</v>
      </c>
      <c r="C60" s="73">
        <f>B60</f>
        <v>386225.00000000006</v>
      </c>
      <c r="D60" s="73">
        <f t="shared" si="6"/>
        <v>386225.00000000006</v>
      </c>
      <c r="E60" s="73">
        <f t="shared" si="6"/>
        <v>386225.00000000006</v>
      </c>
      <c r="F60" s="73">
        <f t="shared" si="6"/>
        <v>386225.00000000006</v>
      </c>
      <c r="G60" s="73">
        <f t="shared" si="6"/>
        <v>386225.00000000006</v>
      </c>
      <c r="H60" s="73">
        <f t="shared" si="6"/>
        <v>386225.00000000006</v>
      </c>
      <c r="I60" s="73">
        <f t="shared" si="6"/>
        <v>386225.00000000006</v>
      </c>
      <c r="J60" s="73">
        <f t="shared" si="6"/>
        <v>386225.00000000006</v>
      </c>
      <c r="K60" s="73">
        <f t="shared" si="6"/>
        <v>386225.00000000006</v>
      </c>
      <c r="L60" s="33">
        <f t="shared" si="4"/>
        <v>3862250.0000000005</v>
      </c>
    </row>
    <row r="61" spans="1:12" x14ac:dyDescent="0.25">
      <c r="A61" s="37" t="s">
        <v>114</v>
      </c>
      <c r="B61" s="38">
        <f t="shared" ref="B61:K61" si="7">SUM(B15:B58)+B59+B60</f>
        <v>30034933.199999999</v>
      </c>
      <c r="C61" s="39">
        <f t="shared" si="7"/>
        <v>3365034.12</v>
      </c>
      <c r="D61" s="39">
        <f t="shared" si="7"/>
        <v>3365034.12</v>
      </c>
      <c r="E61" s="39">
        <f t="shared" si="7"/>
        <v>3365034.12</v>
      </c>
      <c r="F61" s="39">
        <f t="shared" si="7"/>
        <v>3365034.12</v>
      </c>
      <c r="G61" s="39">
        <f t="shared" si="7"/>
        <v>3365034.12</v>
      </c>
      <c r="H61" s="39">
        <f t="shared" si="7"/>
        <v>3365034.12</v>
      </c>
      <c r="I61" s="39">
        <f t="shared" si="7"/>
        <v>3365034.12</v>
      </c>
      <c r="J61" s="39">
        <f t="shared" si="7"/>
        <v>3365034.12</v>
      </c>
      <c r="K61" s="40">
        <f t="shared" si="7"/>
        <v>3365034.12</v>
      </c>
      <c r="L61" s="41">
        <f t="shared" si="4"/>
        <v>60320240.279999979</v>
      </c>
    </row>
    <row r="62" spans="1:12" x14ac:dyDescent="0.25">
      <c r="A62" s="24" t="s">
        <v>117</v>
      </c>
      <c r="B62" s="25"/>
      <c r="C62" s="26"/>
      <c r="D62" s="26"/>
      <c r="E62" s="26"/>
      <c r="F62" s="26"/>
      <c r="G62" s="26"/>
      <c r="H62" s="26"/>
      <c r="I62" s="26"/>
      <c r="J62" s="26"/>
      <c r="K62" s="27"/>
      <c r="L62" s="28"/>
    </row>
    <row r="63" spans="1:12" x14ac:dyDescent="0.25">
      <c r="A63" s="37" t="s">
        <v>115</v>
      </c>
      <c r="B63" s="38">
        <f>'Case &amp; Scenario Parameters'!$G$11*$B$4</f>
        <v>110350000</v>
      </c>
      <c r="C63" s="38">
        <f>'Case &amp; Scenario Parameters'!$G$11*$B$4</f>
        <v>110350000</v>
      </c>
      <c r="D63" s="38">
        <f>'Case &amp; Scenario Parameters'!$G$11*$B$4</f>
        <v>110350000</v>
      </c>
      <c r="E63" s="38">
        <f>'Case &amp; Scenario Parameters'!$G$11*$B$4</f>
        <v>110350000</v>
      </c>
      <c r="F63" s="38">
        <f>'Case &amp; Scenario Parameters'!$G$11*$B$4</f>
        <v>110350000</v>
      </c>
      <c r="G63" s="38">
        <f>'Case &amp; Scenario Parameters'!$G$11*$B$4</f>
        <v>110350000</v>
      </c>
      <c r="H63" s="38">
        <f>'Case &amp; Scenario Parameters'!$G$11*$B$4</f>
        <v>110350000</v>
      </c>
      <c r="I63" s="38">
        <f>'Case &amp; Scenario Parameters'!$G$11*$B$4</f>
        <v>110350000</v>
      </c>
      <c r="J63" s="38">
        <f>'Case &amp; Scenario Parameters'!$G$11*$B$4</f>
        <v>110350000</v>
      </c>
      <c r="K63" s="38">
        <f>'Case &amp; Scenario Parameters'!$G$11*$B$4</f>
        <v>110350000</v>
      </c>
      <c r="L63" s="41">
        <f>SUM(B63:K63)</f>
        <v>1103500000</v>
      </c>
    </row>
    <row r="64" spans="1:12" x14ac:dyDescent="0.25">
      <c r="A64" s="42"/>
      <c r="B64" s="30"/>
      <c r="C64" s="31"/>
      <c r="D64" s="31"/>
      <c r="E64" s="31"/>
      <c r="F64" s="31"/>
      <c r="G64" s="31"/>
      <c r="H64" s="31"/>
      <c r="I64" s="31"/>
      <c r="J64" s="31"/>
      <c r="K64" s="32"/>
      <c r="L64" s="33"/>
    </row>
    <row r="65" spans="1:12" ht="14.25" x14ac:dyDescent="0.2"/>
    <row r="66" spans="1:12" ht="15.75" thickBot="1" x14ac:dyDescent="0.3">
      <c r="A66" s="71" t="s">
        <v>146</v>
      </c>
      <c r="C66" s="18"/>
      <c r="D66" s="18"/>
      <c r="E66" s="18"/>
      <c r="F66" s="18"/>
      <c r="G66" s="18"/>
      <c r="H66" s="18"/>
      <c r="I66" s="18"/>
      <c r="J66" s="18"/>
      <c r="K66" s="18"/>
    </row>
    <row r="67" spans="1:12" x14ac:dyDescent="0.25">
      <c r="A67" s="19"/>
      <c r="B67" s="20" t="s">
        <v>77</v>
      </c>
      <c r="C67" s="21" t="s">
        <v>78</v>
      </c>
      <c r="D67" s="21" t="s">
        <v>79</v>
      </c>
      <c r="E67" s="21" t="s">
        <v>80</v>
      </c>
      <c r="F67" s="21" t="s">
        <v>81</v>
      </c>
      <c r="G67" s="21" t="s">
        <v>82</v>
      </c>
      <c r="H67" s="21" t="s">
        <v>83</v>
      </c>
      <c r="I67" s="21" t="s">
        <v>84</v>
      </c>
      <c r="J67" s="21" t="s">
        <v>85</v>
      </c>
      <c r="K67" s="22" t="s">
        <v>88</v>
      </c>
      <c r="L67" s="23" t="s">
        <v>55</v>
      </c>
    </row>
    <row r="68" spans="1:12" ht="15" customHeight="1" x14ac:dyDescent="0.25">
      <c r="A68" s="24" t="s">
        <v>4</v>
      </c>
      <c r="B68" s="25"/>
      <c r="C68" s="26"/>
      <c r="D68" s="26"/>
      <c r="E68" s="26"/>
      <c r="F68" s="26"/>
      <c r="G68" s="26"/>
      <c r="H68" s="26"/>
      <c r="I68" s="26"/>
      <c r="J68" s="26"/>
      <c r="K68" s="27"/>
      <c r="L68" s="28"/>
    </row>
    <row r="69" spans="1:12" ht="15" customHeight="1" x14ac:dyDescent="0.25">
      <c r="A69" s="24" t="s">
        <v>10</v>
      </c>
      <c r="B69" s="25"/>
      <c r="C69" s="26"/>
      <c r="D69" s="26"/>
      <c r="E69" s="26"/>
      <c r="F69" s="26"/>
      <c r="G69" s="26"/>
      <c r="H69" s="26"/>
      <c r="I69" s="26"/>
      <c r="J69" s="26"/>
      <c r="K69" s="27"/>
      <c r="L69" s="28"/>
    </row>
    <row r="70" spans="1:12" x14ac:dyDescent="0.25">
      <c r="A70" s="34" t="s">
        <v>58</v>
      </c>
      <c r="B70" s="30"/>
      <c r="C70" s="31"/>
      <c r="D70" s="31"/>
      <c r="E70" s="31"/>
      <c r="F70" s="31"/>
      <c r="G70" s="31"/>
      <c r="H70" s="31"/>
      <c r="I70" s="31"/>
      <c r="J70" s="31"/>
      <c r="K70" s="32"/>
      <c r="L70" s="33"/>
    </row>
    <row r="71" spans="1:12" x14ac:dyDescent="0.25">
      <c r="A71" s="34" t="s">
        <v>89</v>
      </c>
      <c r="B71" s="30">
        <f>('Case &amp; Scenario Parameters'!$B$7*'Unit Prices'!$D$7*$B$2)+('Case &amp; Scenario Parameters'!$B$7*'Unit Prices'!$D$8*$C$2)</f>
        <v>6500000</v>
      </c>
      <c r="C71" s="31"/>
      <c r="D71" s="31"/>
      <c r="E71" s="31"/>
      <c r="F71" s="31"/>
      <c r="G71" s="31"/>
      <c r="H71" s="31"/>
      <c r="I71" s="31"/>
      <c r="J71" s="31"/>
      <c r="K71" s="32"/>
      <c r="L71" s="33">
        <f t="shared" ref="L71:L76" si="8">SUM(B71:K71)</f>
        <v>6500000</v>
      </c>
    </row>
    <row r="72" spans="1:12" x14ac:dyDescent="0.25">
      <c r="A72" s="34" t="s">
        <v>90</v>
      </c>
      <c r="B72" s="30">
        <f>('Case &amp; Scenario Parameters'!$C$7*'Unit Prices'!$D$7*$B$2)+('Case &amp; Scenario Parameters'!$C$7*'Unit Prices'!$D$8*$C$2)</f>
        <v>0</v>
      </c>
      <c r="C72" s="31"/>
      <c r="D72" s="31"/>
      <c r="E72" s="31"/>
      <c r="F72" s="31"/>
      <c r="G72" s="31"/>
      <c r="H72" s="31"/>
      <c r="I72" s="31"/>
      <c r="J72" s="31"/>
      <c r="K72" s="32"/>
      <c r="L72" s="33">
        <f t="shared" si="8"/>
        <v>0</v>
      </c>
    </row>
    <row r="73" spans="1:12" x14ac:dyDescent="0.25">
      <c r="A73" s="35" t="s">
        <v>91</v>
      </c>
      <c r="B73" s="30">
        <f>('Case &amp; Scenario Parameters'!$D$7*'Unit Prices'!$D$7*$B$2)+('Case &amp; Scenario Parameters'!$D$7*'Unit Prices'!$D$8*$C$2)</f>
        <v>0</v>
      </c>
      <c r="C73" s="31"/>
      <c r="D73" s="31"/>
      <c r="E73" s="31"/>
      <c r="F73" s="31"/>
      <c r="G73" s="31"/>
      <c r="H73" s="31"/>
      <c r="I73" s="31"/>
      <c r="J73" s="31"/>
      <c r="K73" s="32"/>
      <c r="L73" s="33">
        <f t="shared" si="8"/>
        <v>0</v>
      </c>
    </row>
    <row r="74" spans="1:12" x14ac:dyDescent="0.25">
      <c r="A74" s="34" t="s">
        <v>92</v>
      </c>
      <c r="B74" s="30">
        <f>('Case &amp; Scenario Parameters'!$E$7*'Unit Prices'!$D$7*$B$2)+('Case &amp; Scenario Parameters'!$E$7*'Unit Prices'!$D$8*$C$2)</f>
        <v>340000</v>
      </c>
      <c r="C74" s="31"/>
      <c r="D74" s="31"/>
      <c r="E74" s="31"/>
      <c r="F74" s="31"/>
      <c r="G74" s="31"/>
      <c r="H74" s="31"/>
      <c r="I74" s="31"/>
      <c r="J74" s="31"/>
      <c r="K74" s="32"/>
      <c r="L74" s="33">
        <f t="shared" si="8"/>
        <v>340000</v>
      </c>
    </row>
    <row r="75" spans="1:12" x14ac:dyDescent="0.25">
      <c r="A75" s="34" t="s">
        <v>93</v>
      </c>
      <c r="B75" s="30">
        <f>('Case &amp; Scenario Parameters'!$F$7*'Unit Prices'!$D$7*$B$2)+('Case &amp; Scenario Parameters'!$F$7*'Unit Prices'!$D$8*$C$2)</f>
        <v>0</v>
      </c>
      <c r="C75" s="31"/>
      <c r="D75" s="31"/>
      <c r="E75" s="31"/>
      <c r="F75" s="31"/>
      <c r="G75" s="31"/>
      <c r="H75" s="31"/>
      <c r="I75" s="31"/>
      <c r="J75" s="31"/>
      <c r="K75" s="32"/>
      <c r="L75" s="33">
        <f t="shared" si="8"/>
        <v>0</v>
      </c>
    </row>
    <row r="76" spans="1:12" x14ac:dyDescent="0.25">
      <c r="A76" s="34" t="s">
        <v>94</v>
      </c>
      <c r="B76" s="30">
        <f>SUM(B71:B75)*'Unit Prices'!$D$9</f>
        <v>684000</v>
      </c>
      <c r="C76" s="31"/>
      <c r="D76" s="31"/>
      <c r="E76" s="31"/>
      <c r="F76" s="31"/>
      <c r="G76" s="31"/>
      <c r="H76" s="31"/>
      <c r="I76" s="31"/>
      <c r="J76" s="31"/>
      <c r="K76" s="32"/>
      <c r="L76" s="33">
        <f t="shared" si="8"/>
        <v>684000</v>
      </c>
    </row>
    <row r="77" spans="1:12" x14ac:dyDescent="0.25">
      <c r="A77" s="34" t="s">
        <v>59</v>
      </c>
      <c r="B77" s="30"/>
      <c r="C77" s="31"/>
      <c r="D77" s="31"/>
      <c r="E77" s="31"/>
      <c r="F77" s="31"/>
      <c r="G77" s="31"/>
      <c r="H77" s="31"/>
      <c r="I77" s="31"/>
      <c r="J77" s="31"/>
      <c r="K77" s="32"/>
      <c r="L77" s="33"/>
    </row>
    <row r="78" spans="1:12" x14ac:dyDescent="0.25">
      <c r="A78" s="34" t="s">
        <v>89</v>
      </c>
      <c r="B78" s="30">
        <f>('Case &amp; Scenario Parameters'!$B$10*'Unit Prices'!$D$11*$B$3)+('Case &amp; Scenario Parameters'!$B$10*'Unit Prices'!$D$12*$C$3)</f>
        <v>1350000</v>
      </c>
      <c r="C78" s="31"/>
      <c r="D78" s="31"/>
      <c r="E78" s="31"/>
      <c r="F78" s="31"/>
      <c r="G78" s="31"/>
      <c r="H78" s="31"/>
      <c r="I78" s="31"/>
      <c r="J78" s="31"/>
      <c r="K78" s="32"/>
      <c r="L78" s="33">
        <f t="shared" ref="L78:L83" si="9">SUM(B78:K78)</f>
        <v>1350000</v>
      </c>
    </row>
    <row r="79" spans="1:12" x14ac:dyDescent="0.25">
      <c r="A79" s="34" t="s">
        <v>90</v>
      </c>
      <c r="B79" s="30">
        <f>('Case &amp; Scenario Parameters'!$C$10*'Unit Prices'!$D$11*$B$3)+('Case &amp; Scenario Parameters'!$C$10*'Unit Prices'!$D$12*$C$3)</f>
        <v>15750000</v>
      </c>
      <c r="C79" s="31"/>
      <c r="D79" s="31"/>
      <c r="E79" s="31"/>
      <c r="F79" s="31"/>
      <c r="G79" s="31"/>
      <c r="H79" s="31"/>
      <c r="I79" s="31"/>
      <c r="J79" s="31"/>
      <c r="K79" s="32"/>
      <c r="L79" s="33">
        <f t="shared" si="9"/>
        <v>15750000</v>
      </c>
    </row>
    <row r="80" spans="1:12" x14ac:dyDescent="0.25">
      <c r="A80" s="35" t="s">
        <v>91</v>
      </c>
      <c r="B80" s="30">
        <f>('Case &amp; Scenario Parameters'!$D$10*'Unit Prices'!$D$11*$B$3)+('Case &amp; Scenario Parameters'!$D$10*'Unit Prices'!$D$12*$C$3)</f>
        <v>750000</v>
      </c>
      <c r="C80" s="31"/>
      <c r="D80" s="31"/>
      <c r="E80" s="31"/>
      <c r="F80" s="31"/>
      <c r="G80" s="31"/>
      <c r="H80" s="31"/>
      <c r="I80" s="31"/>
      <c r="J80" s="31"/>
      <c r="K80" s="32"/>
      <c r="L80" s="33">
        <f t="shared" si="9"/>
        <v>750000</v>
      </c>
    </row>
    <row r="81" spans="1:12" x14ac:dyDescent="0.25">
      <c r="A81" s="34" t="s">
        <v>92</v>
      </c>
      <c r="B81" s="30">
        <f>('Case &amp; Scenario Parameters'!$E$10*'Unit Prices'!$D$11*$B$3)+('Case &amp; Scenario Parameters'!$E$10*'Unit Prices'!$D$12*$C$3)</f>
        <v>0</v>
      </c>
      <c r="C81" s="31"/>
      <c r="D81" s="31"/>
      <c r="E81" s="31"/>
      <c r="F81" s="31"/>
      <c r="G81" s="31"/>
      <c r="H81" s="31"/>
      <c r="I81" s="31"/>
      <c r="J81" s="31"/>
      <c r="K81" s="32"/>
      <c r="L81" s="33">
        <f t="shared" si="9"/>
        <v>0</v>
      </c>
    </row>
    <row r="82" spans="1:12" x14ac:dyDescent="0.25">
      <c r="A82" s="34" t="s">
        <v>93</v>
      </c>
      <c r="B82" s="30">
        <f>('Case &amp; Scenario Parameters'!$F$10*'Unit Prices'!$D$11*$B$3)+('Case &amp; Scenario Parameters'!$F$10*'Unit Prices'!$D$12*$C$3)</f>
        <v>0</v>
      </c>
      <c r="C82" s="31"/>
      <c r="D82" s="31"/>
      <c r="E82" s="31"/>
      <c r="F82" s="31"/>
      <c r="G82" s="31"/>
      <c r="H82" s="31"/>
      <c r="I82" s="31"/>
      <c r="J82" s="31"/>
      <c r="K82" s="32"/>
      <c r="L82" s="33">
        <f t="shared" si="9"/>
        <v>0</v>
      </c>
    </row>
    <row r="83" spans="1:12" x14ac:dyDescent="0.25">
      <c r="A83" s="34" t="s">
        <v>95</v>
      </c>
      <c r="B83" s="30">
        <f>SUM(B78:B82)*'Unit Prices'!$D$13</f>
        <v>1785000</v>
      </c>
      <c r="C83" s="31"/>
      <c r="D83" s="31"/>
      <c r="E83" s="31"/>
      <c r="F83" s="31"/>
      <c r="G83" s="31"/>
      <c r="H83" s="31"/>
      <c r="I83" s="31"/>
      <c r="J83" s="31"/>
      <c r="K83" s="32"/>
      <c r="L83" s="33">
        <f t="shared" si="9"/>
        <v>1785000</v>
      </c>
    </row>
    <row r="84" spans="1:12" x14ac:dyDescent="0.25">
      <c r="A84" s="34" t="s">
        <v>96</v>
      </c>
      <c r="B84" s="30"/>
      <c r="C84" s="31"/>
      <c r="D84" s="31"/>
      <c r="E84" s="31"/>
      <c r="F84" s="31"/>
      <c r="G84" s="31"/>
      <c r="H84" s="31"/>
      <c r="I84" s="31"/>
      <c r="J84" s="31"/>
      <c r="K84" s="32"/>
      <c r="L84" s="33"/>
    </row>
    <row r="85" spans="1:12" x14ac:dyDescent="0.25">
      <c r="A85" s="34" t="s">
        <v>97</v>
      </c>
      <c r="B85" s="30">
        <f>'Case &amp; Scenario Parameters'!$G$4*'Case &amp; Scenario Parameters'!$B$22*'Unit Prices'!$D$15*'Case &amp; Scenario Parameters'!$B$60</f>
        <v>157950</v>
      </c>
      <c r="C85" s="31"/>
      <c r="D85" s="31"/>
      <c r="E85" s="31"/>
      <c r="F85" s="31"/>
      <c r="G85" s="31"/>
      <c r="H85" s="31"/>
      <c r="I85" s="31"/>
      <c r="J85" s="31"/>
      <c r="K85" s="32"/>
      <c r="L85" s="33">
        <f t="shared" ref="L85:L94" si="10">SUM(B85:K85)</f>
        <v>157950</v>
      </c>
    </row>
    <row r="86" spans="1:12" x14ac:dyDescent="0.25">
      <c r="A86" s="34" t="s">
        <v>98</v>
      </c>
      <c r="B86" s="30">
        <f>'Case &amp; Scenario Parameters'!$G$4*'Case &amp; Scenario Parameters'!$B$22*'Unit Prices'!$D$16*'Case &amp; Scenario Parameters'!$B$60</f>
        <v>947700</v>
      </c>
      <c r="C86" s="31"/>
      <c r="D86" s="31"/>
      <c r="E86" s="31"/>
      <c r="F86" s="31"/>
      <c r="G86" s="31"/>
      <c r="H86" s="31"/>
      <c r="I86" s="31"/>
      <c r="J86" s="31"/>
      <c r="K86" s="32"/>
      <c r="L86" s="33">
        <f t="shared" si="10"/>
        <v>947700</v>
      </c>
    </row>
    <row r="87" spans="1:12" x14ac:dyDescent="0.25">
      <c r="A87" s="34" t="s">
        <v>99</v>
      </c>
      <c r="B87" s="30">
        <f>'Unit Prices'!$D$17</f>
        <v>250000</v>
      </c>
      <c r="C87" s="31"/>
      <c r="D87" s="31"/>
      <c r="E87" s="31"/>
      <c r="F87" s="31"/>
      <c r="G87" s="31"/>
      <c r="H87" s="31"/>
      <c r="I87" s="31"/>
      <c r="J87" s="31"/>
      <c r="K87" s="32"/>
      <c r="L87" s="33">
        <f t="shared" si="10"/>
        <v>250000</v>
      </c>
    </row>
    <row r="88" spans="1:12" x14ac:dyDescent="0.25">
      <c r="A88" s="34" t="s">
        <v>100</v>
      </c>
      <c r="B88" s="30">
        <f>($B$15+$B$16+$B$17+$B$18+$B$19+$B$22+$B$23+$B$24+$B$25+$B$26)*'Unit Prices'!$D$18</f>
        <v>4051600</v>
      </c>
      <c r="C88" s="31"/>
      <c r="D88" s="31"/>
      <c r="E88" s="31"/>
      <c r="F88" s="31"/>
      <c r="G88" s="31"/>
      <c r="H88" s="31"/>
      <c r="I88" s="31"/>
      <c r="J88" s="31"/>
      <c r="K88" s="32"/>
      <c r="L88" s="33">
        <f t="shared" si="10"/>
        <v>4051600</v>
      </c>
    </row>
    <row r="89" spans="1:12" x14ac:dyDescent="0.25">
      <c r="A89" s="34" t="s">
        <v>101</v>
      </c>
      <c r="B89" s="30">
        <f>($B$15+$B$16+$B$17+$B$18+$B$19+$B$22+$B$23+$B$24+$B$25+$B$26)*'Unit Prices'!$D$19</f>
        <v>4051600</v>
      </c>
      <c r="C89" s="31"/>
      <c r="D89" s="31"/>
      <c r="E89" s="31"/>
      <c r="F89" s="31"/>
      <c r="G89" s="31"/>
      <c r="H89" s="31"/>
      <c r="I89" s="31"/>
      <c r="J89" s="31"/>
      <c r="K89" s="32"/>
      <c r="L89" s="33">
        <f t="shared" si="10"/>
        <v>4051600</v>
      </c>
    </row>
    <row r="90" spans="1:12" x14ac:dyDescent="0.25">
      <c r="A90" s="34" t="s">
        <v>5</v>
      </c>
      <c r="B90" s="30">
        <f>'Unit Prices'!$D$20</f>
        <v>2000000</v>
      </c>
      <c r="C90" s="31"/>
      <c r="D90" s="31"/>
      <c r="E90" s="31"/>
      <c r="F90" s="31"/>
      <c r="G90" s="31"/>
      <c r="H90" s="31"/>
      <c r="I90" s="31"/>
      <c r="J90" s="31"/>
      <c r="K90" s="32"/>
      <c r="L90" s="33">
        <f t="shared" si="10"/>
        <v>2000000</v>
      </c>
    </row>
    <row r="91" spans="1:12" x14ac:dyDescent="0.25">
      <c r="A91" s="34" t="s">
        <v>102</v>
      </c>
      <c r="B91" s="30">
        <f>'Unit Prices'!$D$21</f>
        <v>55000</v>
      </c>
      <c r="C91" s="31"/>
      <c r="D91" s="31"/>
      <c r="E91" s="31"/>
      <c r="F91" s="31"/>
      <c r="G91" s="31"/>
      <c r="H91" s="31"/>
      <c r="I91" s="31"/>
      <c r="J91" s="31"/>
      <c r="K91" s="32"/>
      <c r="L91" s="33">
        <f t="shared" si="10"/>
        <v>55000</v>
      </c>
    </row>
    <row r="92" spans="1:12" x14ac:dyDescent="0.25">
      <c r="A92" s="34" t="s">
        <v>103</v>
      </c>
      <c r="B92" s="30">
        <f>'Unit Prices'!$D$22</f>
        <v>750000</v>
      </c>
      <c r="C92" s="31"/>
      <c r="D92" s="31"/>
      <c r="E92" s="31"/>
      <c r="F92" s="31"/>
      <c r="G92" s="31"/>
      <c r="H92" s="31"/>
      <c r="I92" s="31"/>
      <c r="J92" s="31"/>
      <c r="K92" s="32"/>
      <c r="L92" s="33">
        <f t="shared" si="10"/>
        <v>750000</v>
      </c>
    </row>
    <row r="93" spans="1:12" x14ac:dyDescent="0.25">
      <c r="A93" s="34" t="s">
        <v>104</v>
      </c>
      <c r="B93" s="30">
        <f>'Unit Prices'!$D$23</f>
        <v>400000</v>
      </c>
      <c r="C93" s="31"/>
      <c r="D93" s="31"/>
      <c r="E93" s="31"/>
      <c r="F93" s="31"/>
      <c r="G93" s="31"/>
      <c r="H93" s="31"/>
      <c r="I93" s="31"/>
      <c r="J93" s="31"/>
      <c r="K93" s="32"/>
      <c r="L93" s="33">
        <f t="shared" si="10"/>
        <v>400000</v>
      </c>
    </row>
    <row r="94" spans="1:12" x14ac:dyDescent="0.25">
      <c r="A94" s="51" t="s">
        <v>108</v>
      </c>
      <c r="B94" s="73">
        <f>SUM(B71:B93)*'Unit Prices'!$D$25</f>
        <v>5973427.5</v>
      </c>
      <c r="C94" s="31"/>
      <c r="D94" s="31"/>
      <c r="E94" s="31"/>
      <c r="F94" s="31"/>
      <c r="G94" s="31"/>
      <c r="H94" s="31"/>
      <c r="I94" s="31"/>
      <c r="J94" s="31"/>
      <c r="K94" s="32"/>
      <c r="L94" s="33">
        <f t="shared" si="10"/>
        <v>5973427.5</v>
      </c>
    </row>
    <row r="95" spans="1:12" x14ac:dyDescent="0.25">
      <c r="A95" s="24" t="s">
        <v>105</v>
      </c>
      <c r="B95" s="25"/>
      <c r="C95" s="26"/>
      <c r="D95" s="26"/>
      <c r="E95" s="26"/>
      <c r="F95" s="26"/>
      <c r="G95" s="26"/>
      <c r="H95" s="26"/>
      <c r="I95" s="26"/>
      <c r="J95" s="26"/>
      <c r="K95" s="27"/>
      <c r="L95" s="28"/>
    </row>
    <row r="96" spans="1:12" x14ac:dyDescent="0.25">
      <c r="A96" s="34" t="s">
        <v>106</v>
      </c>
      <c r="B96" s="30"/>
      <c r="C96" s="31">
        <f>($B$15+$B$16+$B$17+$B$18+$B$19+$B$22+$B$23+$B$24+$B$25+$B$26)*'Unit Prices'!$D$28</f>
        <v>1215480</v>
      </c>
      <c r="D96" s="31">
        <f t="shared" ref="D96:K96" si="11">C96</f>
        <v>1215480</v>
      </c>
      <c r="E96" s="31">
        <f t="shared" si="11"/>
        <v>1215480</v>
      </c>
      <c r="F96" s="31">
        <f t="shared" si="11"/>
        <v>1215480</v>
      </c>
      <c r="G96" s="31">
        <f t="shared" si="11"/>
        <v>1215480</v>
      </c>
      <c r="H96" s="31">
        <f t="shared" si="11"/>
        <v>1215480</v>
      </c>
      <c r="I96" s="31">
        <f t="shared" si="11"/>
        <v>1215480</v>
      </c>
      <c r="J96" s="31">
        <f t="shared" si="11"/>
        <v>1215480</v>
      </c>
      <c r="K96" s="31">
        <f t="shared" si="11"/>
        <v>1215480</v>
      </c>
      <c r="L96" s="33">
        <f t="shared" ref="L96:L117" si="12">SUM(B96:K96)</f>
        <v>10939320</v>
      </c>
    </row>
    <row r="97" spans="1:12" x14ac:dyDescent="0.25">
      <c r="A97" s="51" t="s">
        <v>152</v>
      </c>
      <c r="B97" s="30"/>
      <c r="C97" s="31"/>
      <c r="D97" s="31">
        <f t="shared" ref="D97:K112" si="13">C97</f>
        <v>0</v>
      </c>
      <c r="E97" s="31">
        <f t="shared" si="13"/>
        <v>0</v>
      </c>
      <c r="F97" s="31">
        <f t="shared" si="13"/>
        <v>0</v>
      </c>
      <c r="G97" s="31">
        <f t="shared" si="13"/>
        <v>0</v>
      </c>
      <c r="H97" s="31">
        <f t="shared" si="13"/>
        <v>0</v>
      </c>
      <c r="I97" s="31">
        <f t="shared" si="13"/>
        <v>0</v>
      </c>
      <c r="J97" s="31">
        <f t="shared" si="13"/>
        <v>0</v>
      </c>
      <c r="K97" s="31">
        <f t="shared" si="13"/>
        <v>0</v>
      </c>
      <c r="L97" s="33">
        <f t="shared" si="12"/>
        <v>0</v>
      </c>
    </row>
    <row r="98" spans="1:12" x14ac:dyDescent="0.25">
      <c r="A98" s="34" t="s">
        <v>89</v>
      </c>
      <c r="B98" s="30"/>
      <c r="C98" s="31">
        <f>B71*'Case &amp; Scenario Parameters'!$B$59</f>
        <v>325000</v>
      </c>
      <c r="D98" s="31">
        <f t="shared" si="13"/>
        <v>325000</v>
      </c>
      <c r="E98" s="31">
        <f t="shared" si="13"/>
        <v>325000</v>
      </c>
      <c r="F98" s="31">
        <f t="shared" si="13"/>
        <v>325000</v>
      </c>
      <c r="G98" s="31">
        <f t="shared" si="13"/>
        <v>325000</v>
      </c>
      <c r="H98" s="31">
        <f t="shared" si="13"/>
        <v>325000</v>
      </c>
      <c r="I98" s="31">
        <f t="shared" si="13"/>
        <v>325000</v>
      </c>
      <c r="J98" s="31">
        <f t="shared" si="13"/>
        <v>325000</v>
      </c>
      <c r="K98" s="31">
        <f t="shared" si="13"/>
        <v>325000</v>
      </c>
      <c r="L98" s="33">
        <f t="shared" si="12"/>
        <v>2925000</v>
      </c>
    </row>
    <row r="99" spans="1:12" x14ac:dyDescent="0.25">
      <c r="A99" s="34" t="s">
        <v>90</v>
      </c>
      <c r="B99" s="30"/>
      <c r="C99" s="31">
        <f>B72*'Case &amp; Scenario Parameters'!$B$59</f>
        <v>0</v>
      </c>
      <c r="D99" s="31">
        <f t="shared" si="13"/>
        <v>0</v>
      </c>
      <c r="E99" s="31">
        <f t="shared" si="13"/>
        <v>0</v>
      </c>
      <c r="F99" s="31">
        <f t="shared" si="13"/>
        <v>0</v>
      </c>
      <c r="G99" s="31">
        <f t="shared" si="13"/>
        <v>0</v>
      </c>
      <c r="H99" s="31">
        <f t="shared" si="13"/>
        <v>0</v>
      </c>
      <c r="I99" s="31">
        <f t="shared" si="13"/>
        <v>0</v>
      </c>
      <c r="J99" s="31">
        <f t="shared" si="13"/>
        <v>0</v>
      </c>
      <c r="K99" s="31">
        <f t="shared" si="13"/>
        <v>0</v>
      </c>
      <c r="L99" s="33">
        <f t="shared" si="12"/>
        <v>0</v>
      </c>
    </row>
    <row r="100" spans="1:12" x14ac:dyDescent="0.25">
      <c r="A100" s="35" t="s">
        <v>91</v>
      </c>
      <c r="B100" s="30"/>
      <c r="C100" s="31">
        <f>B73*'Case &amp; Scenario Parameters'!$B$59</f>
        <v>0</v>
      </c>
      <c r="D100" s="31">
        <f t="shared" si="13"/>
        <v>0</v>
      </c>
      <c r="E100" s="31">
        <f t="shared" si="13"/>
        <v>0</v>
      </c>
      <c r="F100" s="31">
        <f t="shared" si="13"/>
        <v>0</v>
      </c>
      <c r="G100" s="31">
        <f t="shared" si="13"/>
        <v>0</v>
      </c>
      <c r="H100" s="31">
        <f t="shared" si="13"/>
        <v>0</v>
      </c>
      <c r="I100" s="31">
        <f t="shared" si="13"/>
        <v>0</v>
      </c>
      <c r="J100" s="31">
        <f t="shared" si="13"/>
        <v>0</v>
      </c>
      <c r="K100" s="31">
        <f t="shared" si="13"/>
        <v>0</v>
      </c>
      <c r="L100" s="33">
        <f t="shared" si="12"/>
        <v>0</v>
      </c>
    </row>
    <row r="101" spans="1:12" x14ac:dyDescent="0.25">
      <c r="A101" s="34" t="s">
        <v>92</v>
      </c>
      <c r="B101" s="30"/>
      <c r="C101" s="31">
        <f>B74*'Case &amp; Scenario Parameters'!$B$59</f>
        <v>17000</v>
      </c>
      <c r="D101" s="31">
        <f t="shared" si="13"/>
        <v>17000</v>
      </c>
      <c r="E101" s="31">
        <f t="shared" si="13"/>
        <v>17000</v>
      </c>
      <c r="F101" s="31">
        <f t="shared" si="13"/>
        <v>17000</v>
      </c>
      <c r="G101" s="31">
        <f t="shared" si="13"/>
        <v>17000</v>
      </c>
      <c r="H101" s="31">
        <f t="shared" si="13"/>
        <v>17000</v>
      </c>
      <c r="I101" s="31">
        <f t="shared" si="13"/>
        <v>17000</v>
      </c>
      <c r="J101" s="31">
        <f t="shared" si="13"/>
        <v>17000</v>
      </c>
      <c r="K101" s="31">
        <f t="shared" si="13"/>
        <v>17000</v>
      </c>
      <c r="L101" s="33">
        <f t="shared" si="12"/>
        <v>153000</v>
      </c>
    </row>
    <row r="102" spans="1:12" x14ac:dyDescent="0.25">
      <c r="A102" s="34" t="s">
        <v>93</v>
      </c>
      <c r="B102" s="30"/>
      <c r="C102" s="31">
        <f>B75*'Case &amp; Scenario Parameters'!$B$59</f>
        <v>0</v>
      </c>
      <c r="D102" s="31">
        <f t="shared" si="13"/>
        <v>0</v>
      </c>
      <c r="E102" s="31">
        <f t="shared" si="13"/>
        <v>0</v>
      </c>
      <c r="F102" s="31">
        <f t="shared" si="13"/>
        <v>0</v>
      </c>
      <c r="G102" s="31">
        <f t="shared" si="13"/>
        <v>0</v>
      </c>
      <c r="H102" s="31">
        <f t="shared" si="13"/>
        <v>0</v>
      </c>
      <c r="I102" s="31">
        <f t="shared" si="13"/>
        <v>0</v>
      </c>
      <c r="J102" s="31">
        <f t="shared" si="13"/>
        <v>0</v>
      </c>
      <c r="K102" s="31">
        <f t="shared" si="13"/>
        <v>0</v>
      </c>
      <c r="L102" s="33">
        <f t="shared" si="12"/>
        <v>0</v>
      </c>
    </row>
    <row r="103" spans="1:12" x14ac:dyDescent="0.25">
      <c r="A103" s="34" t="s">
        <v>94</v>
      </c>
      <c r="B103" s="30"/>
      <c r="C103" s="31">
        <f>SUM(C98:C102)*'Unit Prices'!$D$9</f>
        <v>34200</v>
      </c>
      <c r="D103" s="31">
        <f t="shared" si="13"/>
        <v>34200</v>
      </c>
      <c r="E103" s="31">
        <f t="shared" si="13"/>
        <v>34200</v>
      </c>
      <c r="F103" s="31">
        <f t="shared" si="13"/>
        <v>34200</v>
      </c>
      <c r="G103" s="31">
        <f t="shared" si="13"/>
        <v>34200</v>
      </c>
      <c r="H103" s="31">
        <f t="shared" si="13"/>
        <v>34200</v>
      </c>
      <c r="I103" s="31">
        <f t="shared" si="13"/>
        <v>34200</v>
      </c>
      <c r="J103" s="31">
        <f t="shared" si="13"/>
        <v>34200</v>
      </c>
      <c r="K103" s="31">
        <f t="shared" si="13"/>
        <v>34200</v>
      </c>
      <c r="L103" s="33">
        <f t="shared" si="12"/>
        <v>307800</v>
      </c>
    </row>
    <row r="104" spans="1:12" x14ac:dyDescent="0.25">
      <c r="A104" s="51" t="s">
        <v>154</v>
      </c>
      <c r="B104" s="30"/>
      <c r="C104" s="31"/>
      <c r="D104" s="31">
        <f t="shared" si="13"/>
        <v>0</v>
      </c>
      <c r="E104" s="31">
        <f t="shared" si="13"/>
        <v>0</v>
      </c>
      <c r="F104" s="31">
        <f t="shared" si="13"/>
        <v>0</v>
      </c>
      <c r="G104" s="31">
        <f t="shared" si="13"/>
        <v>0</v>
      </c>
      <c r="H104" s="31">
        <f t="shared" si="13"/>
        <v>0</v>
      </c>
      <c r="I104" s="31">
        <f t="shared" si="13"/>
        <v>0</v>
      </c>
      <c r="J104" s="31">
        <f t="shared" si="13"/>
        <v>0</v>
      </c>
      <c r="K104" s="31">
        <f t="shared" si="13"/>
        <v>0</v>
      </c>
      <c r="L104" s="33">
        <f t="shared" si="12"/>
        <v>0</v>
      </c>
    </row>
    <row r="105" spans="1:12" x14ac:dyDescent="0.25">
      <c r="A105" s="34" t="s">
        <v>89</v>
      </c>
      <c r="B105" s="30"/>
      <c r="C105" s="31">
        <f>B78*'Case &amp; Scenario Parameters'!$B$59</f>
        <v>67500</v>
      </c>
      <c r="D105" s="31">
        <f t="shared" si="13"/>
        <v>67500</v>
      </c>
      <c r="E105" s="31">
        <f t="shared" si="13"/>
        <v>67500</v>
      </c>
      <c r="F105" s="31">
        <f t="shared" si="13"/>
        <v>67500</v>
      </c>
      <c r="G105" s="31">
        <f t="shared" si="13"/>
        <v>67500</v>
      </c>
      <c r="H105" s="31">
        <f t="shared" si="13"/>
        <v>67500</v>
      </c>
      <c r="I105" s="31">
        <f t="shared" si="13"/>
        <v>67500</v>
      </c>
      <c r="J105" s="31">
        <f t="shared" si="13"/>
        <v>67500</v>
      </c>
      <c r="K105" s="31">
        <f t="shared" si="13"/>
        <v>67500</v>
      </c>
      <c r="L105" s="33">
        <f t="shared" si="12"/>
        <v>607500</v>
      </c>
    </row>
    <row r="106" spans="1:12" x14ac:dyDescent="0.25">
      <c r="A106" s="34" t="s">
        <v>90</v>
      </c>
      <c r="B106" s="30"/>
      <c r="C106" s="31">
        <f>B79*'Case &amp; Scenario Parameters'!$B$59</f>
        <v>787500</v>
      </c>
      <c r="D106" s="31">
        <f t="shared" si="13"/>
        <v>787500</v>
      </c>
      <c r="E106" s="31">
        <f t="shared" si="13"/>
        <v>787500</v>
      </c>
      <c r="F106" s="31">
        <f t="shared" si="13"/>
        <v>787500</v>
      </c>
      <c r="G106" s="31">
        <f t="shared" si="13"/>
        <v>787500</v>
      </c>
      <c r="H106" s="31">
        <f t="shared" si="13"/>
        <v>787500</v>
      </c>
      <c r="I106" s="31">
        <f t="shared" si="13"/>
        <v>787500</v>
      </c>
      <c r="J106" s="31">
        <f t="shared" si="13"/>
        <v>787500</v>
      </c>
      <c r="K106" s="31">
        <f t="shared" si="13"/>
        <v>787500</v>
      </c>
      <c r="L106" s="33">
        <f t="shared" si="12"/>
        <v>7087500</v>
      </c>
    </row>
    <row r="107" spans="1:12" x14ac:dyDescent="0.25">
      <c r="A107" s="35" t="s">
        <v>91</v>
      </c>
      <c r="B107" s="30"/>
      <c r="C107" s="31">
        <f>B80*'Case &amp; Scenario Parameters'!$B$59</f>
        <v>37500</v>
      </c>
      <c r="D107" s="31">
        <f t="shared" si="13"/>
        <v>37500</v>
      </c>
      <c r="E107" s="31">
        <f t="shared" si="13"/>
        <v>37500</v>
      </c>
      <c r="F107" s="31">
        <f t="shared" si="13"/>
        <v>37500</v>
      </c>
      <c r="G107" s="31">
        <f t="shared" si="13"/>
        <v>37500</v>
      </c>
      <c r="H107" s="31">
        <f t="shared" si="13"/>
        <v>37500</v>
      </c>
      <c r="I107" s="31">
        <f t="shared" si="13"/>
        <v>37500</v>
      </c>
      <c r="J107" s="31">
        <f t="shared" si="13"/>
        <v>37500</v>
      </c>
      <c r="K107" s="31">
        <f t="shared" si="13"/>
        <v>37500</v>
      </c>
      <c r="L107" s="33">
        <f t="shared" si="12"/>
        <v>337500</v>
      </c>
    </row>
    <row r="108" spans="1:12" x14ac:dyDescent="0.25">
      <c r="A108" s="34" t="s">
        <v>92</v>
      </c>
      <c r="B108" s="30"/>
      <c r="C108" s="31">
        <f>B81*'Case &amp; Scenario Parameters'!$B$59</f>
        <v>0</v>
      </c>
      <c r="D108" s="31">
        <f t="shared" si="13"/>
        <v>0</v>
      </c>
      <c r="E108" s="31">
        <f t="shared" si="13"/>
        <v>0</v>
      </c>
      <c r="F108" s="31">
        <f t="shared" si="13"/>
        <v>0</v>
      </c>
      <c r="G108" s="31">
        <f t="shared" si="13"/>
        <v>0</v>
      </c>
      <c r="H108" s="31">
        <f t="shared" si="13"/>
        <v>0</v>
      </c>
      <c r="I108" s="31">
        <f t="shared" si="13"/>
        <v>0</v>
      </c>
      <c r="J108" s="31">
        <f t="shared" si="13"/>
        <v>0</v>
      </c>
      <c r="K108" s="31">
        <f t="shared" si="13"/>
        <v>0</v>
      </c>
      <c r="L108" s="33">
        <f t="shared" si="12"/>
        <v>0</v>
      </c>
    </row>
    <row r="109" spans="1:12" x14ac:dyDescent="0.25">
      <c r="A109" s="34" t="s">
        <v>93</v>
      </c>
      <c r="B109" s="30"/>
      <c r="C109" s="31">
        <f>B82*'Case &amp; Scenario Parameters'!$B$59</f>
        <v>0</v>
      </c>
      <c r="D109" s="31">
        <f t="shared" si="13"/>
        <v>0</v>
      </c>
      <c r="E109" s="31">
        <f t="shared" si="13"/>
        <v>0</v>
      </c>
      <c r="F109" s="31">
        <f t="shared" si="13"/>
        <v>0</v>
      </c>
      <c r="G109" s="31">
        <f t="shared" si="13"/>
        <v>0</v>
      </c>
      <c r="H109" s="31">
        <f t="shared" si="13"/>
        <v>0</v>
      </c>
      <c r="I109" s="31">
        <f t="shared" si="13"/>
        <v>0</v>
      </c>
      <c r="J109" s="31">
        <f t="shared" si="13"/>
        <v>0</v>
      </c>
      <c r="K109" s="31">
        <f t="shared" si="13"/>
        <v>0</v>
      </c>
      <c r="L109" s="33">
        <f t="shared" si="12"/>
        <v>0</v>
      </c>
    </row>
    <row r="110" spans="1:12" x14ac:dyDescent="0.25">
      <c r="A110" s="34" t="s">
        <v>95</v>
      </c>
      <c r="B110" s="30"/>
      <c r="C110" s="31">
        <f>SUM(C105:C109)*'Unit Prices'!$D$13</f>
        <v>89250</v>
      </c>
      <c r="D110" s="31">
        <f t="shared" si="13"/>
        <v>89250</v>
      </c>
      <c r="E110" s="31">
        <f t="shared" si="13"/>
        <v>89250</v>
      </c>
      <c r="F110" s="31">
        <f t="shared" si="13"/>
        <v>89250</v>
      </c>
      <c r="G110" s="31">
        <f t="shared" si="13"/>
        <v>89250</v>
      </c>
      <c r="H110" s="31">
        <f t="shared" si="13"/>
        <v>89250</v>
      </c>
      <c r="I110" s="31">
        <f t="shared" si="13"/>
        <v>89250</v>
      </c>
      <c r="J110" s="31">
        <f t="shared" si="13"/>
        <v>89250</v>
      </c>
      <c r="K110" s="31">
        <f t="shared" si="13"/>
        <v>89250</v>
      </c>
      <c r="L110" s="33">
        <f t="shared" si="12"/>
        <v>803250</v>
      </c>
    </row>
    <row r="111" spans="1:12" x14ac:dyDescent="0.25">
      <c r="A111" s="51" t="s">
        <v>154</v>
      </c>
      <c r="B111" s="30"/>
      <c r="C111" s="31"/>
      <c r="D111" s="31">
        <f t="shared" si="13"/>
        <v>0</v>
      </c>
      <c r="E111" s="31">
        <f t="shared" si="13"/>
        <v>0</v>
      </c>
      <c r="F111" s="31">
        <f t="shared" si="13"/>
        <v>0</v>
      </c>
      <c r="G111" s="31">
        <f t="shared" si="13"/>
        <v>0</v>
      </c>
      <c r="H111" s="31">
        <f t="shared" si="13"/>
        <v>0</v>
      </c>
      <c r="I111" s="31">
        <f t="shared" si="13"/>
        <v>0</v>
      </c>
      <c r="J111" s="31">
        <f t="shared" si="13"/>
        <v>0</v>
      </c>
      <c r="K111" s="31">
        <f t="shared" si="13"/>
        <v>0</v>
      </c>
      <c r="L111" s="33">
        <f t="shared" si="12"/>
        <v>0</v>
      </c>
    </row>
    <row r="112" spans="1:12" x14ac:dyDescent="0.25">
      <c r="A112" s="34" t="s">
        <v>97</v>
      </c>
      <c r="B112" s="30"/>
      <c r="C112" s="31">
        <f>B85*'Case &amp; Scenario Parameters'!$B$61</f>
        <v>15795</v>
      </c>
      <c r="D112" s="31">
        <f t="shared" si="13"/>
        <v>15795</v>
      </c>
      <c r="E112" s="31">
        <f t="shared" si="13"/>
        <v>15795</v>
      </c>
      <c r="F112" s="31">
        <f t="shared" si="13"/>
        <v>15795</v>
      </c>
      <c r="G112" s="31">
        <f t="shared" si="13"/>
        <v>15795</v>
      </c>
      <c r="H112" s="31">
        <f t="shared" si="13"/>
        <v>15795</v>
      </c>
      <c r="I112" s="31">
        <f t="shared" si="13"/>
        <v>15795</v>
      </c>
      <c r="J112" s="31">
        <f t="shared" si="13"/>
        <v>15795</v>
      </c>
      <c r="K112" s="31">
        <f t="shared" si="13"/>
        <v>15795</v>
      </c>
      <c r="L112" s="33">
        <f t="shared" si="12"/>
        <v>142155</v>
      </c>
    </row>
    <row r="113" spans="1:12" x14ac:dyDescent="0.25">
      <c r="A113" s="34" t="s">
        <v>98</v>
      </c>
      <c r="B113" s="30"/>
      <c r="C113" s="31">
        <f>B86*'Case &amp; Scenario Parameters'!$B$61</f>
        <v>94770</v>
      </c>
      <c r="D113" s="31">
        <f t="shared" ref="D113:K116" si="14">C113</f>
        <v>94770</v>
      </c>
      <c r="E113" s="31">
        <f t="shared" si="14"/>
        <v>94770</v>
      </c>
      <c r="F113" s="31">
        <f t="shared" si="14"/>
        <v>94770</v>
      </c>
      <c r="G113" s="31">
        <f t="shared" si="14"/>
        <v>94770</v>
      </c>
      <c r="H113" s="31">
        <f t="shared" si="14"/>
        <v>94770</v>
      </c>
      <c r="I113" s="31">
        <f t="shared" si="14"/>
        <v>94770</v>
      </c>
      <c r="J113" s="31">
        <f t="shared" si="14"/>
        <v>94770</v>
      </c>
      <c r="K113" s="31">
        <f t="shared" si="14"/>
        <v>94770</v>
      </c>
      <c r="L113" s="33">
        <f t="shared" si="12"/>
        <v>852930</v>
      </c>
    </row>
    <row r="114" spans="1:12" x14ac:dyDescent="0.25">
      <c r="A114" s="34" t="s">
        <v>108</v>
      </c>
      <c r="B114" s="30"/>
      <c r="C114" s="31">
        <f>SUM(C96:C113)*'Unit Prices'!$D$37</f>
        <v>402599.25</v>
      </c>
      <c r="D114" s="31">
        <f t="shared" si="14"/>
        <v>402599.25</v>
      </c>
      <c r="E114" s="31">
        <f t="shared" si="14"/>
        <v>402599.25</v>
      </c>
      <c r="F114" s="31">
        <f t="shared" si="14"/>
        <v>402599.25</v>
      </c>
      <c r="G114" s="31">
        <f t="shared" si="14"/>
        <v>402599.25</v>
      </c>
      <c r="H114" s="31">
        <f t="shared" si="14"/>
        <v>402599.25</v>
      </c>
      <c r="I114" s="31">
        <f t="shared" si="14"/>
        <v>402599.25</v>
      </c>
      <c r="J114" s="31">
        <f t="shared" si="14"/>
        <v>402599.25</v>
      </c>
      <c r="K114" s="31">
        <f t="shared" si="14"/>
        <v>402599.25</v>
      </c>
      <c r="L114" s="33">
        <f t="shared" si="12"/>
        <v>3623393.25</v>
      </c>
    </row>
    <row r="115" spans="1:12" x14ac:dyDescent="0.25">
      <c r="A115" s="51" t="s">
        <v>135</v>
      </c>
      <c r="B115" s="36">
        <f>B$119*$B$5*'Unit Prices'!$D$38</f>
        <v>794520</v>
      </c>
      <c r="C115" s="36">
        <f>B115</f>
        <v>794520</v>
      </c>
      <c r="D115" s="36">
        <f t="shared" si="14"/>
        <v>794520</v>
      </c>
      <c r="E115" s="36">
        <f t="shared" si="14"/>
        <v>794520</v>
      </c>
      <c r="F115" s="36">
        <f t="shared" si="14"/>
        <v>794520</v>
      </c>
      <c r="G115" s="36">
        <f t="shared" si="14"/>
        <v>794520</v>
      </c>
      <c r="H115" s="36">
        <f t="shared" si="14"/>
        <v>794520</v>
      </c>
      <c r="I115" s="36">
        <f t="shared" si="14"/>
        <v>794520</v>
      </c>
      <c r="J115" s="36">
        <f t="shared" si="14"/>
        <v>794520</v>
      </c>
      <c r="K115" s="36">
        <f t="shared" si="14"/>
        <v>794520</v>
      </c>
      <c r="L115" s="33">
        <f t="shared" si="12"/>
        <v>7945200</v>
      </c>
    </row>
    <row r="116" spans="1:12" x14ac:dyDescent="0.25">
      <c r="A116" s="51" t="s">
        <v>136</v>
      </c>
      <c r="B116" s="30">
        <f>B$119*'Unit Prices'!$D$39*$B$6</f>
        <v>772450.00000000012</v>
      </c>
      <c r="C116" s="73">
        <f>B116</f>
        <v>772450.00000000012</v>
      </c>
      <c r="D116" s="73">
        <f t="shared" si="14"/>
        <v>772450.00000000012</v>
      </c>
      <c r="E116" s="73">
        <f t="shared" si="14"/>
        <v>772450.00000000012</v>
      </c>
      <c r="F116" s="73">
        <f t="shared" si="14"/>
        <v>772450.00000000012</v>
      </c>
      <c r="G116" s="73">
        <f t="shared" si="14"/>
        <v>772450.00000000012</v>
      </c>
      <c r="H116" s="73">
        <f t="shared" si="14"/>
        <v>772450.00000000012</v>
      </c>
      <c r="I116" s="73">
        <f t="shared" si="14"/>
        <v>772450.00000000012</v>
      </c>
      <c r="J116" s="73">
        <f t="shared" si="14"/>
        <v>772450.00000000012</v>
      </c>
      <c r="K116" s="73">
        <f t="shared" si="14"/>
        <v>772450.00000000012</v>
      </c>
      <c r="L116" s="33">
        <f t="shared" si="12"/>
        <v>7724500.0000000009</v>
      </c>
    </row>
    <row r="117" spans="1:12" x14ac:dyDescent="0.25">
      <c r="A117" s="37" t="s">
        <v>114</v>
      </c>
      <c r="B117" s="38">
        <f t="shared" ref="B117:K117" si="15">SUM(B71:B114)+B115+B116</f>
        <v>47363247.5</v>
      </c>
      <c r="C117" s="38">
        <f t="shared" si="15"/>
        <v>4653564.25</v>
      </c>
      <c r="D117" s="38">
        <f t="shared" si="15"/>
        <v>4653564.25</v>
      </c>
      <c r="E117" s="38">
        <f t="shared" si="15"/>
        <v>4653564.25</v>
      </c>
      <c r="F117" s="38">
        <f t="shared" si="15"/>
        <v>4653564.25</v>
      </c>
      <c r="G117" s="38">
        <f t="shared" si="15"/>
        <v>4653564.25</v>
      </c>
      <c r="H117" s="38">
        <f t="shared" si="15"/>
        <v>4653564.25</v>
      </c>
      <c r="I117" s="38">
        <f t="shared" si="15"/>
        <v>4653564.25</v>
      </c>
      <c r="J117" s="38">
        <f t="shared" si="15"/>
        <v>4653564.25</v>
      </c>
      <c r="K117" s="38">
        <f t="shared" si="15"/>
        <v>4653564.25</v>
      </c>
      <c r="L117" s="38">
        <f t="shared" si="12"/>
        <v>89245325.75</v>
      </c>
    </row>
    <row r="118" spans="1:12" x14ac:dyDescent="0.25">
      <c r="A118" s="24" t="s">
        <v>117</v>
      </c>
      <c r="B118" s="25"/>
      <c r="C118" s="26"/>
      <c r="D118" s="26"/>
      <c r="E118" s="26"/>
      <c r="F118" s="26"/>
      <c r="G118" s="26"/>
      <c r="H118" s="26"/>
      <c r="I118" s="26"/>
      <c r="J118" s="26"/>
      <c r="K118" s="27"/>
      <c r="L118" s="28"/>
    </row>
    <row r="119" spans="1:12" x14ac:dyDescent="0.25">
      <c r="A119" s="37" t="s">
        <v>115</v>
      </c>
      <c r="B119" s="38">
        <f>'Case &amp; Scenario Parameters'!$G$11*$B$4</f>
        <v>110350000</v>
      </c>
      <c r="C119" s="38">
        <f>'Case &amp; Scenario Parameters'!$G$11*$B$4</f>
        <v>110350000</v>
      </c>
      <c r="D119" s="38">
        <f>'Case &amp; Scenario Parameters'!$G$11*$B$4</f>
        <v>110350000</v>
      </c>
      <c r="E119" s="38">
        <f>'Case &amp; Scenario Parameters'!$G$11*$B$4</f>
        <v>110350000</v>
      </c>
      <c r="F119" s="38">
        <f>'Case &amp; Scenario Parameters'!$G$11*$B$4</f>
        <v>110350000</v>
      </c>
      <c r="G119" s="38">
        <f>'Case &amp; Scenario Parameters'!$G$11*$B$4</f>
        <v>110350000</v>
      </c>
      <c r="H119" s="38">
        <f>'Case &amp; Scenario Parameters'!$G$11*$B$4</f>
        <v>110350000</v>
      </c>
      <c r="I119" s="38">
        <f>'Case &amp; Scenario Parameters'!$G$11*$B$4</f>
        <v>110350000</v>
      </c>
      <c r="J119" s="38">
        <f>'Case &amp; Scenario Parameters'!$G$11*$B$4</f>
        <v>110350000</v>
      </c>
      <c r="K119" s="38">
        <f>'Case &amp; Scenario Parameters'!$G$11*$B$4</f>
        <v>110350000</v>
      </c>
      <c r="L119" s="41">
        <f>SUM(B119:K119)</f>
        <v>1103500000</v>
      </c>
    </row>
    <row r="120" spans="1:12" ht="14.25" x14ac:dyDescent="0.2"/>
    <row r="121" spans="1:12" ht="14.25" x14ac:dyDescent="0.2"/>
    <row r="122" spans="1:12" ht="14.25" x14ac:dyDescent="0.2"/>
    <row r="123" spans="1:12" ht="14.25" x14ac:dyDescent="0.2"/>
    <row r="124" spans="1:12" ht="14.25" x14ac:dyDescent="0.2"/>
    <row r="125" spans="1:12" ht="14.25" x14ac:dyDescent="0.2"/>
    <row r="126" spans="1:12" ht="14.25" x14ac:dyDescent="0.2"/>
    <row r="127" spans="1:12" ht="14.25" x14ac:dyDescent="0.2"/>
  </sheetData>
  <sheetProtection algorithmName="SHA-512" hashValue="nOmwJSp7NU3ovRwthbHodjz/BR/j0BjuhnJTgAYaEifj6z3ctJdSfBG3xlkNh9g8FhX7Tg7J93cCbIUBbHayHQ==" saltValue="l9nNX6HNHojTgI+pQK5zXg==" spinCount="100000" sheet="1" objects="1" scenarios="1"/>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51"/>
  <sheetViews>
    <sheetView zoomScale="80" zoomScaleNormal="80" workbookViewId="0">
      <selection activeCell="E7" sqref="E7"/>
    </sheetView>
  </sheetViews>
  <sheetFormatPr defaultColWidth="12.625" defaultRowHeight="15" customHeight="1" x14ac:dyDescent="0.2"/>
  <cols>
    <col min="1" max="1" width="42.25" customWidth="1"/>
    <col min="2" max="2" width="34.5" customWidth="1"/>
    <col min="5" max="5" width="58.25" style="75" customWidth="1"/>
    <col min="6" max="6" width="5.125" customWidth="1"/>
  </cols>
  <sheetData>
    <row r="1" spans="1:5" ht="15" customHeight="1" x14ac:dyDescent="0.25">
      <c r="A1" s="136" t="s">
        <v>190</v>
      </c>
    </row>
    <row r="2" spans="1:5" x14ac:dyDescent="0.25">
      <c r="A2" s="156"/>
      <c r="B2" s="157"/>
      <c r="C2" s="160" t="s">
        <v>7</v>
      </c>
      <c r="D2" s="161"/>
      <c r="E2" s="76"/>
    </row>
    <row r="3" spans="1:5" x14ac:dyDescent="0.25">
      <c r="A3" s="158"/>
      <c r="B3" s="159"/>
      <c r="C3" s="77" t="s">
        <v>8</v>
      </c>
      <c r="D3" s="77" t="s">
        <v>9</v>
      </c>
      <c r="E3" s="76" t="s">
        <v>132</v>
      </c>
    </row>
    <row r="4" spans="1:5" ht="15.75" x14ac:dyDescent="0.25">
      <c r="A4" s="78" t="s">
        <v>134</v>
      </c>
      <c r="B4" s="79"/>
      <c r="C4" s="80"/>
      <c r="D4" s="80"/>
      <c r="E4" s="81"/>
    </row>
    <row r="5" spans="1:5" x14ac:dyDescent="0.25">
      <c r="A5" s="88" t="s">
        <v>133</v>
      </c>
      <c r="B5" s="89"/>
      <c r="C5" s="90"/>
      <c r="D5" s="90"/>
      <c r="E5" s="91"/>
    </row>
    <row r="6" spans="1:5" x14ac:dyDescent="0.25">
      <c r="A6" s="96" t="s">
        <v>11</v>
      </c>
      <c r="B6" s="97" t="s">
        <v>171</v>
      </c>
      <c r="C6" s="97"/>
      <c r="D6" s="97"/>
      <c r="E6" s="98"/>
    </row>
    <row r="7" spans="1:5" x14ac:dyDescent="0.25">
      <c r="A7" s="99"/>
      <c r="B7" s="96" t="s">
        <v>12</v>
      </c>
      <c r="C7" s="100">
        <v>7000</v>
      </c>
      <c r="D7" s="100">
        <v>10000</v>
      </c>
      <c r="E7" s="98" t="s">
        <v>172</v>
      </c>
    </row>
    <row r="8" spans="1:5" x14ac:dyDescent="0.25">
      <c r="A8" s="99"/>
      <c r="B8" s="96" t="s">
        <v>13</v>
      </c>
      <c r="C8" s="100">
        <v>2000</v>
      </c>
      <c r="D8" s="100">
        <v>2500</v>
      </c>
      <c r="E8" s="98" t="s">
        <v>165</v>
      </c>
    </row>
    <row r="9" spans="1:5" x14ac:dyDescent="0.25">
      <c r="A9" s="99"/>
      <c r="B9" s="96" t="s">
        <v>14</v>
      </c>
      <c r="C9" s="101">
        <v>0.03</v>
      </c>
      <c r="D9" s="101">
        <v>0.1</v>
      </c>
      <c r="E9" s="98" t="s">
        <v>15</v>
      </c>
    </row>
    <row r="10" spans="1:5" x14ac:dyDescent="0.25">
      <c r="A10" s="96" t="s">
        <v>16</v>
      </c>
      <c r="B10" s="97"/>
      <c r="C10" s="97"/>
      <c r="D10" s="97"/>
      <c r="E10" s="98"/>
    </row>
    <row r="11" spans="1:5" x14ac:dyDescent="0.25">
      <c r="A11" s="99"/>
      <c r="B11" s="96" t="s">
        <v>17</v>
      </c>
      <c r="C11" s="100">
        <v>65000</v>
      </c>
      <c r="D11" s="100">
        <v>75000</v>
      </c>
      <c r="E11" s="98"/>
    </row>
    <row r="12" spans="1:5" x14ac:dyDescent="0.25">
      <c r="A12" s="99"/>
      <c r="B12" s="96" t="s">
        <v>18</v>
      </c>
      <c r="C12" s="100">
        <v>25000</v>
      </c>
      <c r="D12" s="100">
        <v>50000</v>
      </c>
      <c r="E12" s="98"/>
    </row>
    <row r="13" spans="1:5" x14ac:dyDescent="0.25">
      <c r="A13" s="99"/>
      <c r="B13" s="96" t="s">
        <v>19</v>
      </c>
      <c r="C13" s="101">
        <v>0.03</v>
      </c>
      <c r="D13" s="101">
        <v>0.1</v>
      </c>
      <c r="E13" s="98" t="s">
        <v>20</v>
      </c>
    </row>
    <row r="14" spans="1:5" x14ac:dyDescent="0.25">
      <c r="A14" s="96" t="s">
        <v>21</v>
      </c>
      <c r="B14" s="97"/>
      <c r="C14" s="97"/>
      <c r="D14" s="97"/>
      <c r="E14" s="98"/>
    </row>
    <row r="15" spans="1:5" x14ac:dyDescent="0.25">
      <c r="A15" s="102"/>
      <c r="B15" s="96" t="s">
        <v>22</v>
      </c>
      <c r="C15" s="100">
        <v>0.04</v>
      </c>
      <c r="D15" s="100">
        <v>0.25</v>
      </c>
      <c r="E15" s="98"/>
    </row>
    <row r="16" spans="1:5" x14ac:dyDescent="0.25">
      <c r="A16" s="99"/>
      <c r="B16" s="96" t="s">
        <v>23</v>
      </c>
      <c r="C16" s="100">
        <v>0.75</v>
      </c>
      <c r="D16" s="100">
        <v>1.5</v>
      </c>
      <c r="E16" s="98"/>
    </row>
    <row r="17" spans="1:5" x14ac:dyDescent="0.25">
      <c r="A17" s="96" t="s">
        <v>24</v>
      </c>
      <c r="B17" s="101"/>
      <c r="C17" s="100">
        <v>100000</v>
      </c>
      <c r="D17" s="100">
        <v>250000</v>
      </c>
      <c r="E17" s="98"/>
    </row>
    <row r="18" spans="1:5" x14ac:dyDescent="0.25">
      <c r="A18" s="96" t="s">
        <v>25</v>
      </c>
      <c r="B18" s="101"/>
      <c r="C18" s="101">
        <v>0.1</v>
      </c>
      <c r="D18" s="101">
        <v>0.2</v>
      </c>
      <c r="E18" s="98"/>
    </row>
    <row r="19" spans="1:5" x14ac:dyDescent="0.25">
      <c r="A19" s="96" t="s">
        <v>26</v>
      </c>
      <c r="B19" s="101"/>
      <c r="C19" s="101">
        <v>0.1</v>
      </c>
      <c r="D19" s="101">
        <v>0.2</v>
      </c>
      <c r="E19" s="98" t="s">
        <v>169</v>
      </c>
    </row>
    <row r="20" spans="1:5" x14ac:dyDescent="0.25">
      <c r="A20" s="96" t="s">
        <v>27</v>
      </c>
      <c r="B20" s="100"/>
      <c r="C20" s="100">
        <v>300000</v>
      </c>
      <c r="D20" s="100">
        <v>2000000</v>
      </c>
      <c r="E20" s="98"/>
    </row>
    <row r="21" spans="1:5" x14ac:dyDescent="0.25">
      <c r="A21" s="96" t="s">
        <v>28</v>
      </c>
      <c r="B21" s="100"/>
      <c r="C21" s="100">
        <v>35000</v>
      </c>
      <c r="D21" s="100">
        <v>55000</v>
      </c>
      <c r="E21" s="98"/>
    </row>
    <row r="22" spans="1:5" x14ac:dyDescent="0.25">
      <c r="A22" s="96" t="s">
        <v>29</v>
      </c>
      <c r="B22" s="101"/>
      <c r="C22" s="103">
        <v>200000</v>
      </c>
      <c r="D22" s="103">
        <v>750000</v>
      </c>
      <c r="E22" s="98"/>
    </row>
    <row r="23" spans="1:5" x14ac:dyDescent="0.25">
      <c r="A23" s="96" t="s">
        <v>30</v>
      </c>
      <c r="B23" s="101"/>
      <c r="C23" s="103">
        <v>300000</v>
      </c>
      <c r="D23" s="103">
        <v>400000</v>
      </c>
      <c r="E23" s="98"/>
    </row>
    <row r="24" spans="1:5" x14ac:dyDescent="0.25">
      <c r="A24" s="96" t="s">
        <v>31</v>
      </c>
      <c r="B24" s="101"/>
      <c r="C24" s="104">
        <v>7.4999999999999997E-2</v>
      </c>
      <c r="D24" s="105">
        <v>0.15</v>
      </c>
      <c r="E24" s="98" t="s">
        <v>32</v>
      </c>
    </row>
    <row r="25" spans="1:5" x14ac:dyDescent="0.25">
      <c r="A25" s="96" t="s">
        <v>33</v>
      </c>
      <c r="B25" s="101"/>
      <c r="C25" s="101">
        <v>0.1</v>
      </c>
      <c r="D25" s="101">
        <v>0.15</v>
      </c>
      <c r="E25" s="98" t="s">
        <v>32</v>
      </c>
    </row>
    <row r="26" spans="1:5" ht="14.25" x14ac:dyDescent="0.2"/>
    <row r="27" spans="1:5" x14ac:dyDescent="0.25">
      <c r="A27" s="92" t="s">
        <v>34</v>
      </c>
      <c r="B27" s="93"/>
      <c r="C27" s="94"/>
      <c r="D27" s="94"/>
      <c r="E27" s="95"/>
    </row>
    <row r="28" spans="1:5" x14ac:dyDescent="0.25">
      <c r="A28" s="96" t="s">
        <v>138</v>
      </c>
      <c r="B28" s="101"/>
      <c r="C28" s="101">
        <v>0.05</v>
      </c>
      <c r="D28" s="101">
        <v>0.06</v>
      </c>
      <c r="E28" s="98" t="s">
        <v>168</v>
      </c>
    </row>
    <row r="29" spans="1:5" x14ac:dyDescent="0.25">
      <c r="A29" s="114" t="s">
        <v>164</v>
      </c>
      <c r="B29" s="187"/>
      <c r="C29" s="82"/>
      <c r="D29" s="82"/>
      <c r="E29" s="83" t="s">
        <v>170</v>
      </c>
    </row>
    <row r="30" spans="1:5" x14ac:dyDescent="0.25">
      <c r="A30" s="188"/>
      <c r="B30" s="114" t="s">
        <v>17</v>
      </c>
      <c r="C30" s="84">
        <f t="shared" ref="C30:E32" si="0">C7</f>
        <v>7000</v>
      </c>
      <c r="D30" s="84">
        <f t="shared" si="0"/>
        <v>10000</v>
      </c>
      <c r="E30" s="84" t="str">
        <f t="shared" si="0"/>
        <v>Validating cash (no change) + smart card validator</v>
      </c>
    </row>
    <row r="31" spans="1:5" x14ac:dyDescent="0.25">
      <c r="A31" s="188"/>
      <c r="B31" s="114" t="s">
        <v>18</v>
      </c>
      <c r="C31" s="84">
        <f t="shared" si="0"/>
        <v>2000</v>
      </c>
      <c r="D31" s="84">
        <f t="shared" si="0"/>
        <v>2500</v>
      </c>
      <c r="E31" s="84" t="str">
        <f t="shared" si="0"/>
        <v>Validator, higher costs include PCI</v>
      </c>
    </row>
    <row r="32" spans="1:5" x14ac:dyDescent="0.25">
      <c r="A32" s="188"/>
      <c r="B32" s="114" t="s">
        <v>14</v>
      </c>
      <c r="C32" s="85">
        <f t="shared" si="0"/>
        <v>0.03</v>
      </c>
      <c r="D32" s="85">
        <f t="shared" si="0"/>
        <v>0.1</v>
      </c>
      <c r="E32" s="84" t="str">
        <f t="shared" si="0"/>
        <v>Fraction of Farebox costs</v>
      </c>
    </row>
    <row r="33" spans="1:5" x14ac:dyDescent="0.25">
      <c r="A33" s="114" t="s">
        <v>137</v>
      </c>
      <c r="B33" s="187"/>
      <c r="C33" s="82"/>
      <c r="D33" s="84"/>
      <c r="E33" s="84"/>
    </row>
    <row r="34" spans="1:5" x14ac:dyDescent="0.25">
      <c r="A34" s="188"/>
      <c r="B34" s="114" t="s">
        <v>17</v>
      </c>
      <c r="C34" s="84">
        <f t="shared" ref="C34:D36" si="1">C11</f>
        <v>65000</v>
      </c>
      <c r="D34" s="84">
        <f t="shared" si="1"/>
        <v>75000</v>
      </c>
      <c r="E34" s="84"/>
    </row>
    <row r="35" spans="1:5" x14ac:dyDescent="0.25">
      <c r="A35" s="188"/>
      <c r="B35" s="114" t="s">
        <v>18</v>
      </c>
      <c r="C35" s="84">
        <f t="shared" si="1"/>
        <v>25000</v>
      </c>
      <c r="D35" s="84">
        <f t="shared" si="1"/>
        <v>50000</v>
      </c>
      <c r="E35" s="84"/>
    </row>
    <row r="36" spans="1:5" x14ac:dyDescent="0.25">
      <c r="A36" s="188"/>
      <c r="B36" s="114" t="s">
        <v>19</v>
      </c>
      <c r="C36" s="85">
        <f t="shared" si="1"/>
        <v>0.03</v>
      </c>
      <c r="D36" s="85">
        <f t="shared" si="1"/>
        <v>0.1</v>
      </c>
      <c r="E36" s="84" t="str">
        <f>E13</f>
        <v>Fraction of Ticket Vending Machines costs</v>
      </c>
    </row>
    <row r="37" spans="1:5" x14ac:dyDescent="0.25">
      <c r="A37" s="114" t="s">
        <v>33</v>
      </c>
      <c r="B37" s="189"/>
      <c r="C37" s="86">
        <f>C25</f>
        <v>0.1</v>
      </c>
      <c r="D37" s="86">
        <f>D25</f>
        <v>0.15</v>
      </c>
      <c r="E37" s="87" t="str">
        <f>E25</f>
        <v>Fraction of one time capital investment</v>
      </c>
    </row>
    <row r="38" spans="1:5" x14ac:dyDescent="0.25">
      <c r="A38" s="96" t="s">
        <v>35</v>
      </c>
      <c r="B38" s="101"/>
      <c r="C38" s="101">
        <v>0.05</v>
      </c>
      <c r="D38" s="101">
        <v>0.06</v>
      </c>
      <c r="E38" s="98" t="s">
        <v>167</v>
      </c>
    </row>
    <row r="39" spans="1:5" ht="30" x14ac:dyDescent="0.25">
      <c r="A39" s="96" t="s">
        <v>36</v>
      </c>
      <c r="B39" s="101"/>
      <c r="C39" s="101">
        <v>0.05</v>
      </c>
      <c r="D39" s="101">
        <v>0.1</v>
      </c>
      <c r="E39" s="98" t="s">
        <v>166</v>
      </c>
    </row>
    <row r="40" spans="1:5" x14ac:dyDescent="0.25">
      <c r="A40" s="8" t="s">
        <v>37</v>
      </c>
    </row>
    <row r="41" spans="1:5" x14ac:dyDescent="0.25">
      <c r="A41" s="8" t="s">
        <v>38</v>
      </c>
    </row>
    <row r="42" spans="1:5" x14ac:dyDescent="0.25">
      <c r="A42" s="8" t="s">
        <v>39</v>
      </c>
    </row>
    <row r="43" spans="1:5" x14ac:dyDescent="0.25">
      <c r="A43" s="8" t="s">
        <v>40</v>
      </c>
    </row>
    <row r="44" spans="1:5" x14ac:dyDescent="0.25">
      <c r="A44" s="8" t="s">
        <v>41</v>
      </c>
    </row>
    <row r="45" spans="1:5" x14ac:dyDescent="0.25">
      <c r="A45" s="8" t="s">
        <v>42</v>
      </c>
    </row>
    <row r="46" spans="1:5" x14ac:dyDescent="0.25">
      <c r="A46" s="8" t="s">
        <v>43</v>
      </c>
    </row>
    <row r="47" spans="1:5" x14ac:dyDescent="0.25">
      <c r="A47" s="8" t="s">
        <v>44</v>
      </c>
    </row>
    <row r="48" spans="1:5" x14ac:dyDescent="0.25">
      <c r="A48" s="8" t="s">
        <v>45</v>
      </c>
    </row>
    <row r="49" spans="1:1" x14ac:dyDescent="0.25">
      <c r="A49" s="8" t="s">
        <v>46</v>
      </c>
    </row>
    <row r="50" spans="1:1" x14ac:dyDescent="0.25">
      <c r="A50" s="8" t="s">
        <v>47</v>
      </c>
    </row>
    <row r="51" spans="1:1" ht="15" customHeight="1" x14ac:dyDescent="0.25">
      <c r="A51" s="8" t="s">
        <v>48</v>
      </c>
    </row>
  </sheetData>
  <mergeCells count="2">
    <mergeCell ref="A2:B3"/>
    <mergeCell ref="C2:D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L78"/>
  <sheetViews>
    <sheetView workbookViewId="0">
      <selection activeCell="F20" sqref="F20"/>
    </sheetView>
  </sheetViews>
  <sheetFormatPr defaultColWidth="12.625" defaultRowHeight="15" customHeight="1" x14ac:dyDescent="0.2"/>
  <cols>
    <col min="1" max="1" width="39.625" style="12" customWidth="1"/>
    <col min="2" max="6" width="14.75" style="12" customWidth="1"/>
    <col min="7" max="7" width="12.125" style="12" customWidth="1"/>
  </cols>
  <sheetData>
    <row r="1" spans="1:12" x14ac:dyDescent="0.25">
      <c r="A1" s="106" t="s">
        <v>49</v>
      </c>
    </row>
    <row r="2" spans="1:12" x14ac:dyDescent="0.25">
      <c r="A2" s="107"/>
      <c r="B2" s="108" t="s">
        <v>50</v>
      </c>
      <c r="C2" s="108" t="s">
        <v>51</v>
      </c>
      <c r="D2" s="108" t="s">
        <v>52</v>
      </c>
      <c r="E2" s="108" t="s">
        <v>53</v>
      </c>
      <c r="F2" s="108" t="s">
        <v>54</v>
      </c>
      <c r="G2" s="108" t="s">
        <v>55</v>
      </c>
    </row>
    <row r="3" spans="1:12" x14ac:dyDescent="0.25">
      <c r="A3" s="109" t="s">
        <v>191</v>
      </c>
      <c r="B3" s="150" t="s">
        <v>50</v>
      </c>
      <c r="C3" s="150" t="s">
        <v>192</v>
      </c>
      <c r="D3" s="150" t="s">
        <v>195</v>
      </c>
      <c r="E3" s="150" t="s">
        <v>193</v>
      </c>
      <c r="F3" s="150">
        <v>0</v>
      </c>
      <c r="G3" s="122"/>
    </row>
    <row r="4" spans="1:12" x14ac:dyDescent="0.25">
      <c r="A4" s="109" t="s">
        <v>162</v>
      </c>
      <c r="B4" s="151">
        <v>40000000</v>
      </c>
      <c r="C4" s="151">
        <v>30000000</v>
      </c>
      <c r="D4" s="151">
        <v>200000</v>
      </c>
      <c r="E4" s="151">
        <v>0</v>
      </c>
      <c r="F4" s="150">
        <v>0</v>
      </c>
      <c r="G4" s="121">
        <f>SUM(B4:F4)</f>
        <v>70200000</v>
      </c>
    </row>
    <row r="5" spans="1:12" x14ac:dyDescent="0.25">
      <c r="A5" s="109" t="s">
        <v>155</v>
      </c>
      <c r="B5" s="150">
        <v>650</v>
      </c>
      <c r="C5" s="150">
        <v>150</v>
      </c>
      <c r="D5" s="150">
        <v>6</v>
      </c>
      <c r="E5" s="150">
        <v>17</v>
      </c>
      <c r="F5" s="150">
        <v>0</v>
      </c>
      <c r="G5" s="122">
        <f>SUM(B5:F5)</f>
        <v>823</v>
      </c>
    </row>
    <row r="6" spans="1:12" x14ac:dyDescent="0.25">
      <c r="A6" s="109" t="s">
        <v>147</v>
      </c>
      <c r="B6" s="152">
        <v>1</v>
      </c>
      <c r="C6" s="152">
        <v>0</v>
      </c>
      <c r="D6" s="152">
        <v>0</v>
      </c>
      <c r="E6" s="152">
        <v>2</v>
      </c>
      <c r="F6" s="152">
        <v>1</v>
      </c>
      <c r="G6" s="122"/>
    </row>
    <row r="7" spans="1:12" x14ac:dyDescent="0.25">
      <c r="A7" s="109" t="s">
        <v>56</v>
      </c>
      <c r="B7" s="118">
        <f>B5*B6</f>
        <v>650</v>
      </c>
      <c r="C7" s="118">
        <v>0</v>
      </c>
      <c r="D7" s="118">
        <f>D5*D6</f>
        <v>0</v>
      </c>
      <c r="E7" s="118">
        <f>E5*E6</f>
        <v>34</v>
      </c>
      <c r="F7" s="118">
        <v>0</v>
      </c>
      <c r="G7" s="118">
        <f>SUM(B7:F7)</f>
        <v>684</v>
      </c>
    </row>
    <row r="8" spans="1:12" x14ac:dyDescent="0.25">
      <c r="A8" s="109" t="s">
        <v>156</v>
      </c>
      <c r="B8" s="150">
        <v>9000</v>
      </c>
      <c r="C8" s="150">
        <v>100</v>
      </c>
      <c r="D8" s="150">
        <v>5</v>
      </c>
      <c r="E8" s="150">
        <v>71</v>
      </c>
      <c r="F8" s="150">
        <v>0</v>
      </c>
      <c r="G8" s="122">
        <f>SUM(B8:F8)</f>
        <v>9176</v>
      </c>
    </row>
    <row r="9" spans="1:12" x14ac:dyDescent="0.25">
      <c r="A9" s="109" t="s">
        <v>148</v>
      </c>
      <c r="B9" s="153">
        <v>2E-3</v>
      </c>
      <c r="C9" s="152">
        <v>2.1</v>
      </c>
      <c r="D9" s="152">
        <f>200%</f>
        <v>2</v>
      </c>
      <c r="E9" s="152">
        <v>0</v>
      </c>
      <c r="F9" s="152">
        <v>1</v>
      </c>
      <c r="G9" s="123"/>
    </row>
    <row r="10" spans="1:12" x14ac:dyDescent="0.25">
      <c r="A10" s="109" t="s">
        <v>157</v>
      </c>
      <c r="B10" s="119">
        <f>B8*B9</f>
        <v>18</v>
      </c>
      <c r="C10" s="119">
        <f>C8*C9</f>
        <v>210</v>
      </c>
      <c r="D10" s="119">
        <f>D8*D9</f>
        <v>10</v>
      </c>
      <c r="E10" s="119">
        <f>E8*E9</f>
        <v>0</v>
      </c>
      <c r="F10" s="118">
        <v>0</v>
      </c>
      <c r="G10" s="119">
        <f>SUM(B10:F10)</f>
        <v>238</v>
      </c>
    </row>
    <row r="11" spans="1:12" x14ac:dyDescent="0.25">
      <c r="A11" s="109" t="s">
        <v>158</v>
      </c>
      <c r="B11" s="154">
        <v>60000000</v>
      </c>
      <c r="C11" s="154">
        <v>50000000</v>
      </c>
      <c r="D11" s="154">
        <v>350000</v>
      </c>
      <c r="E11" s="154">
        <v>0</v>
      </c>
      <c r="F11" s="154">
        <v>0</v>
      </c>
      <c r="G11" s="124">
        <f>SUM(B11:F11)</f>
        <v>110350000</v>
      </c>
    </row>
    <row r="12" spans="1:12" x14ac:dyDescent="0.25">
      <c r="A12" s="109" t="s">
        <v>57</v>
      </c>
      <c r="B12" s="120">
        <f t="shared" ref="B12:G12" si="0">B11/B4</f>
        <v>1.5</v>
      </c>
      <c r="C12" s="120">
        <f t="shared" si="0"/>
        <v>1.6666666666666667</v>
      </c>
      <c r="D12" s="120">
        <f t="shared" si="0"/>
        <v>1.75</v>
      </c>
      <c r="E12" s="120" t="e">
        <f t="shared" si="0"/>
        <v>#DIV/0!</v>
      </c>
      <c r="F12" s="120" t="e">
        <f t="shared" si="0"/>
        <v>#DIV/0!</v>
      </c>
      <c r="G12" s="132">
        <f t="shared" si="0"/>
        <v>1.5719373219373218</v>
      </c>
    </row>
    <row r="13" spans="1:12" x14ac:dyDescent="0.25">
      <c r="A13" s="110" t="s">
        <v>159</v>
      </c>
    </row>
    <row r="14" spans="1:12" x14ac:dyDescent="0.25">
      <c r="A14" s="111"/>
      <c r="K14" s="10"/>
      <c r="L14" s="10"/>
    </row>
    <row r="15" spans="1:12" x14ac:dyDescent="0.25">
      <c r="A15" s="111"/>
      <c r="K15" s="10"/>
      <c r="L15" s="10"/>
    </row>
    <row r="16" spans="1:12" ht="14.25" x14ac:dyDescent="0.2">
      <c r="A16" s="112"/>
    </row>
    <row r="19" spans="1:3" x14ac:dyDescent="0.25">
      <c r="A19" s="113" t="s">
        <v>116</v>
      </c>
      <c r="B19" s="126" t="s">
        <v>86</v>
      </c>
      <c r="C19" s="126" t="s">
        <v>87</v>
      </c>
    </row>
    <row r="20" spans="1:3" x14ac:dyDescent="0.25">
      <c r="A20" s="125" t="s">
        <v>58</v>
      </c>
      <c r="B20" s="155">
        <v>0</v>
      </c>
      <c r="C20" s="155">
        <v>1</v>
      </c>
    </row>
    <row r="21" spans="1:3" x14ac:dyDescent="0.25">
      <c r="A21" s="125" t="s">
        <v>59</v>
      </c>
      <c r="B21" s="155">
        <v>0</v>
      </c>
      <c r="C21" s="155">
        <v>1</v>
      </c>
    </row>
    <row r="22" spans="1:3" x14ac:dyDescent="0.25">
      <c r="A22" s="125" t="s">
        <v>112</v>
      </c>
      <c r="B22" s="163">
        <v>0.9</v>
      </c>
      <c r="C22" s="163"/>
    </row>
    <row r="23" spans="1:3" x14ac:dyDescent="0.25">
      <c r="A23" s="125" t="s">
        <v>161</v>
      </c>
      <c r="B23" s="162">
        <v>0</v>
      </c>
      <c r="C23" s="162"/>
    </row>
    <row r="24" spans="1:3" x14ac:dyDescent="0.25">
      <c r="A24" s="125" t="s">
        <v>160</v>
      </c>
      <c r="B24" s="162">
        <v>0</v>
      </c>
      <c r="C24" s="162"/>
    </row>
    <row r="26" spans="1:3" x14ac:dyDescent="0.25">
      <c r="A26" s="113" t="s">
        <v>0</v>
      </c>
      <c r="B26" s="126" t="s">
        <v>86</v>
      </c>
      <c r="C26" s="126" t="s">
        <v>87</v>
      </c>
    </row>
    <row r="27" spans="1:3" x14ac:dyDescent="0.25">
      <c r="A27" s="125" t="s">
        <v>58</v>
      </c>
      <c r="B27" s="155">
        <v>0</v>
      </c>
      <c r="C27" s="155">
        <v>1</v>
      </c>
    </row>
    <row r="28" spans="1:3" x14ac:dyDescent="0.25">
      <c r="A28" s="125" t="s">
        <v>59</v>
      </c>
      <c r="B28" s="155">
        <v>0</v>
      </c>
      <c r="C28" s="155">
        <v>1</v>
      </c>
    </row>
    <row r="29" spans="1:3" x14ac:dyDescent="0.25">
      <c r="A29" s="125" t="s">
        <v>60</v>
      </c>
      <c r="B29" s="163">
        <v>0.92500000000000004</v>
      </c>
      <c r="C29" s="163"/>
    </row>
    <row r="30" spans="1:3" x14ac:dyDescent="0.25">
      <c r="A30" s="125" t="s">
        <v>161</v>
      </c>
      <c r="B30" s="162">
        <v>0</v>
      </c>
      <c r="C30" s="162"/>
    </row>
    <row r="31" spans="1:3" x14ac:dyDescent="0.25">
      <c r="A31" s="125" t="s">
        <v>160</v>
      </c>
      <c r="B31" s="162">
        <v>7.0000000000000007E-2</v>
      </c>
      <c r="C31" s="162"/>
    </row>
    <row r="33" spans="1:3" x14ac:dyDescent="0.25">
      <c r="A33" s="113" t="s">
        <v>1</v>
      </c>
      <c r="B33" s="126" t="s">
        <v>86</v>
      </c>
      <c r="C33" s="126" t="s">
        <v>87</v>
      </c>
    </row>
    <row r="34" spans="1:3" x14ac:dyDescent="0.25">
      <c r="A34" s="125" t="s">
        <v>58</v>
      </c>
      <c r="B34" s="155">
        <v>1</v>
      </c>
      <c r="C34" s="155">
        <v>0</v>
      </c>
    </row>
    <row r="35" spans="1:3" x14ac:dyDescent="0.25">
      <c r="A35" s="125" t="s">
        <v>59</v>
      </c>
      <c r="B35" s="155">
        <v>0</v>
      </c>
      <c r="C35" s="155">
        <v>1</v>
      </c>
    </row>
    <row r="36" spans="1:3" x14ac:dyDescent="0.25">
      <c r="A36" s="125" t="s">
        <v>60</v>
      </c>
      <c r="B36" s="163">
        <v>0.97499999999999998</v>
      </c>
      <c r="C36" s="163"/>
    </row>
    <row r="37" spans="1:3" x14ac:dyDescent="0.25">
      <c r="A37" s="125" t="s">
        <v>161</v>
      </c>
      <c r="B37" s="162">
        <v>0.06</v>
      </c>
      <c r="C37" s="162"/>
    </row>
    <row r="38" spans="1:3" x14ac:dyDescent="0.25">
      <c r="A38" s="125" t="s">
        <v>160</v>
      </c>
      <c r="B38" s="162">
        <v>0</v>
      </c>
      <c r="C38" s="162"/>
    </row>
    <row r="40" spans="1:3" x14ac:dyDescent="0.25">
      <c r="A40" s="113" t="s">
        <v>2</v>
      </c>
      <c r="B40" s="126" t="s">
        <v>86</v>
      </c>
      <c r="C40" s="126" t="s">
        <v>87</v>
      </c>
    </row>
    <row r="41" spans="1:3" x14ac:dyDescent="0.25">
      <c r="A41" s="125" t="s">
        <v>58</v>
      </c>
      <c r="B41" s="155">
        <v>0</v>
      </c>
      <c r="C41" s="155">
        <v>1</v>
      </c>
    </row>
    <row r="42" spans="1:3" x14ac:dyDescent="0.25">
      <c r="A42" s="125" t="s">
        <v>59</v>
      </c>
      <c r="B42" s="155">
        <v>1</v>
      </c>
      <c r="C42" s="155">
        <v>0</v>
      </c>
    </row>
    <row r="43" spans="1:3" x14ac:dyDescent="0.25">
      <c r="A43" s="125" t="s">
        <v>60</v>
      </c>
      <c r="B43" s="163">
        <v>0.95</v>
      </c>
      <c r="C43" s="163"/>
    </row>
    <row r="44" spans="1:3" x14ac:dyDescent="0.25">
      <c r="A44" s="125" t="s">
        <v>161</v>
      </c>
      <c r="B44" s="162">
        <v>0.06</v>
      </c>
      <c r="C44" s="162"/>
    </row>
    <row r="45" spans="1:3" x14ac:dyDescent="0.25">
      <c r="A45" s="125" t="s">
        <v>160</v>
      </c>
      <c r="B45" s="162">
        <v>0</v>
      </c>
      <c r="C45" s="162"/>
    </row>
    <row r="47" spans="1:3" x14ac:dyDescent="0.25">
      <c r="A47" s="113" t="s">
        <v>3</v>
      </c>
      <c r="B47" s="126" t="s">
        <v>86</v>
      </c>
      <c r="C47" s="126" t="s">
        <v>87</v>
      </c>
    </row>
    <row r="48" spans="1:3" x14ac:dyDescent="0.25">
      <c r="A48" s="125" t="s">
        <v>58</v>
      </c>
      <c r="B48" s="155">
        <v>1</v>
      </c>
      <c r="C48" s="155">
        <v>0</v>
      </c>
    </row>
    <row r="49" spans="1:9" x14ac:dyDescent="0.25">
      <c r="A49" s="125" t="s">
        <v>59</v>
      </c>
      <c r="B49" s="155">
        <v>1</v>
      </c>
      <c r="C49" s="155">
        <v>0</v>
      </c>
    </row>
    <row r="50" spans="1:9" x14ac:dyDescent="0.25">
      <c r="A50" s="125" t="s">
        <v>60</v>
      </c>
      <c r="B50" s="162">
        <v>1</v>
      </c>
      <c r="C50" s="162"/>
    </row>
    <row r="51" spans="1:9" x14ac:dyDescent="0.25">
      <c r="A51" s="125" t="s">
        <v>161</v>
      </c>
      <c r="B51" s="162">
        <v>0.12</v>
      </c>
      <c r="C51" s="162"/>
    </row>
    <row r="52" spans="1:9" x14ac:dyDescent="0.25">
      <c r="A52" s="125" t="s">
        <v>160</v>
      </c>
      <c r="B52" s="162">
        <v>7.0000000000000007E-2</v>
      </c>
      <c r="C52" s="162"/>
    </row>
    <row r="53" spans="1:9" x14ac:dyDescent="0.25">
      <c r="A53" s="110" t="s">
        <v>61</v>
      </c>
    </row>
    <row r="54" spans="1:9" x14ac:dyDescent="0.25">
      <c r="A54" s="110" t="s">
        <v>62</v>
      </c>
    </row>
    <row r="55" spans="1:9" x14ac:dyDescent="0.25">
      <c r="A55" s="110" t="s">
        <v>63</v>
      </c>
    </row>
    <row r="58" spans="1:9" x14ac:dyDescent="0.25">
      <c r="A58" s="115" t="s">
        <v>173</v>
      </c>
    </row>
    <row r="59" spans="1:9" x14ac:dyDescent="0.25">
      <c r="A59" s="114" t="s">
        <v>64</v>
      </c>
      <c r="B59" s="169">
        <v>0.05</v>
      </c>
      <c r="C59" s="110"/>
    </row>
    <row r="60" spans="1:9" x14ac:dyDescent="0.25">
      <c r="A60" s="114" t="s">
        <v>65</v>
      </c>
      <c r="B60" s="169">
        <v>0.01</v>
      </c>
      <c r="C60" s="12" t="s">
        <v>66</v>
      </c>
    </row>
    <row r="61" spans="1:9" x14ac:dyDescent="0.25">
      <c r="A61" s="114" t="s">
        <v>67</v>
      </c>
      <c r="B61" s="169">
        <v>0.1</v>
      </c>
    </row>
    <row r="62" spans="1:9" x14ac:dyDescent="0.25">
      <c r="A62" s="114" t="s">
        <v>68</v>
      </c>
      <c r="B62" s="169">
        <v>1</v>
      </c>
    </row>
    <row r="64" spans="1:9" ht="41.25" customHeight="1" x14ac:dyDescent="0.25">
      <c r="A64" s="116"/>
      <c r="B64" s="62"/>
      <c r="C64" s="62"/>
      <c r="D64" s="62"/>
      <c r="E64" s="62"/>
      <c r="F64" s="62"/>
      <c r="G64" s="62"/>
      <c r="H64" s="138"/>
      <c r="I64" s="138"/>
    </row>
    <row r="65" spans="1:9" ht="65.25" customHeight="1" x14ac:dyDescent="0.25">
      <c r="A65" s="139"/>
      <c r="B65" s="137"/>
      <c r="C65" s="137"/>
      <c r="D65" s="137"/>
      <c r="E65" s="137"/>
      <c r="F65" s="137"/>
      <c r="G65" s="137"/>
      <c r="H65" s="138"/>
      <c r="I65" s="138"/>
    </row>
    <row r="66" spans="1:9" x14ac:dyDescent="0.25">
      <c r="A66" s="140"/>
      <c r="B66" s="137"/>
      <c r="C66" s="137"/>
      <c r="D66" s="137"/>
      <c r="E66" s="137"/>
      <c r="F66" s="137"/>
      <c r="G66" s="62"/>
      <c r="H66" s="138"/>
      <c r="I66" s="138"/>
    </row>
    <row r="67" spans="1:9" x14ac:dyDescent="0.25">
      <c r="A67" s="62"/>
      <c r="B67" s="141"/>
      <c r="C67" s="62"/>
      <c r="D67" s="141"/>
      <c r="E67" s="141"/>
      <c r="F67" s="140"/>
      <c r="G67" s="62"/>
      <c r="H67" s="138"/>
      <c r="I67" s="138"/>
    </row>
    <row r="68" spans="1:9" x14ac:dyDescent="0.25">
      <c r="A68" s="62"/>
      <c r="B68" s="141"/>
      <c r="C68" s="142"/>
      <c r="D68" s="142"/>
      <c r="E68" s="142"/>
      <c r="F68" s="143"/>
      <c r="G68" s="62"/>
      <c r="H68" s="138"/>
      <c r="I68" s="138"/>
    </row>
    <row r="69" spans="1:9" x14ac:dyDescent="0.25">
      <c r="A69" s="62"/>
      <c r="B69" s="141"/>
      <c r="C69" s="62"/>
      <c r="D69" s="141"/>
      <c r="E69" s="141"/>
      <c r="F69" s="143"/>
      <c r="G69" s="62"/>
      <c r="H69" s="138"/>
      <c r="I69" s="138"/>
    </row>
    <row r="70" spans="1:9" x14ac:dyDescent="0.25">
      <c r="A70" s="62"/>
      <c r="B70" s="144"/>
      <c r="C70" s="144"/>
      <c r="D70" s="144"/>
      <c r="E70" s="144"/>
      <c r="F70" s="145"/>
      <c r="G70" s="62"/>
      <c r="H70" s="138"/>
      <c r="I70" s="138"/>
    </row>
    <row r="71" spans="1:9" x14ac:dyDescent="0.25">
      <c r="A71" s="62"/>
      <c r="B71" s="144"/>
      <c r="C71" s="144"/>
      <c r="D71" s="144"/>
      <c r="E71" s="144"/>
      <c r="F71" s="146"/>
      <c r="G71" s="62"/>
      <c r="H71" s="138"/>
      <c r="I71" s="138"/>
    </row>
    <row r="72" spans="1:9" ht="117" customHeight="1" x14ac:dyDescent="0.2">
      <c r="A72" s="62"/>
      <c r="B72" s="147"/>
      <c r="C72" s="147"/>
      <c r="D72" s="147"/>
      <c r="E72" s="147"/>
      <c r="F72" s="62"/>
      <c r="G72" s="62"/>
      <c r="H72" s="138"/>
      <c r="I72" s="138"/>
    </row>
    <row r="73" spans="1:9" x14ac:dyDescent="0.25">
      <c r="A73" s="110"/>
      <c r="B73" s="110"/>
      <c r="C73" s="110"/>
      <c r="D73" s="110"/>
      <c r="E73" s="110"/>
    </row>
    <row r="74" spans="1:9" x14ac:dyDescent="0.25">
      <c r="A74" s="110"/>
      <c r="B74" s="110"/>
      <c r="C74" s="110"/>
      <c r="D74" s="110"/>
      <c r="E74" s="110"/>
    </row>
    <row r="75" spans="1:9" x14ac:dyDescent="0.25">
      <c r="A75" s="110"/>
      <c r="B75" s="117"/>
      <c r="C75" s="117"/>
      <c r="D75" s="117"/>
      <c r="E75" s="110"/>
    </row>
    <row r="76" spans="1:9" x14ac:dyDescent="0.25">
      <c r="A76" s="110"/>
      <c r="B76" s="117"/>
      <c r="C76" s="117"/>
      <c r="D76" s="117"/>
      <c r="E76" s="110"/>
    </row>
    <row r="77" spans="1:9" x14ac:dyDescent="0.25">
      <c r="A77" s="110"/>
      <c r="B77" s="117"/>
      <c r="C77" s="117"/>
      <c r="D77" s="117"/>
      <c r="E77" s="110"/>
    </row>
    <row r="78" spans="1:9" x14ac:dyDescent="0.25">
      <c r="A78" s="110"/>
      <c r="B78" s="117"/>
      <c r="C78" s="117"/>
      <c r="D78" s="117"/>
      <c r="E78" s="110"/>
    </row>
  </sheetData>
  <mergeCells count="15">
    <mergeCell ref="B22:C22"/>
    <mergeCell ref="B23:C23"/>
    <mergeCell ref="B24:C24"/>
    <mergeCell ref="B29:C29"/>
    <mergeCell ref="B30:C30"/>
    <mergeCell ref="B45:C45"/>
    <mergeCell ref="B50:C50"/>
    <mergeCell ref="B51:C51"/>
    <mergeCell ref="B52:C52"/>
    <mergeCell ref="B31:C31"/>
    <mergeCell ref="B36:C36"/>
    <mergeCell ref="B37:C37"/>
    <mergeCell ref="B38:C38"/>
    <mergeCell ref="B43:C43"/>
    <mergeCell ref="B44:C44"/>
  </mergeCells>
  <pageMargins left="0.7" right="0.7" top="0.75" bottom="0.75" header="0.3" footer="0.3"/>
  <pageSetup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838"/>
  <sheetViews>
    <sheetView workbookViewId="0">
      <selection activeCell="A13" sqref="A13"/>
    </sheetView>
  </sheetViews>
  <sheetFormatPr defaultColWidth="12.625" defaultRowHeight="15" customHeight="1" x14ac:dyDescent="0.2"/>
  <cols>
    <col min="1" max="1" width="53.375" customWidth="1"/>
    <col min="2" max="6" width="15.625" customWidth="1"/>
    <col min="7" max="7" width="40.875" style="75" customWidth="1"/>
    <col min="8" max="25" width="7.625" customWidth="1"/>
  </cols>
  <sheetData>
    <row r="1" spans="1:7" x14ac:dyDescent="0.25">
      <c r="A1" s="1"/>
    </row>
    <row r="2" spans="1:7" x14ac:dyDescent="0.25">
      <c r="A2" s="1" t="s">
        <v>6</v>
      </c>
    </row>
    <row r="3" spans="1:7" ht="75" x14ac:dyDescent="0.25">
      <c r="A3" s="5" t="s">
        <v>186</v>
      </c>
      <c r="C3" s="4"/>
      <c r="D3" s="4"/>
      <c r="E3" s="4"/>
      <c r="F3" s="4"/>
    </row>
    <row r="4" spans="1:7" ht="29.25" x14ac:dyDescent="0.25">
      <c r="A4" s="48"/>
      <c r="B4" s="6"/>
      <c r="C4" s="6"/>
      <c r="D4" s="6"/>
      <c r="E4" s="6"/>
      <c r="F4" s="6"/>
      <c r="G4" s="128" t="s">
        <v>203</v>
      </c>
    </row>
    <row r="5" spans="1:7" ht="85.5" x14ac:dyDescent="0.2">
      <c r="A5" s="3"/>
      <c r="B5" s="13" t="s">
        <v>111</v>
      </c>
      <c r="C5" s="13" t="s">
        <v>110</v>
      </c>
      <c r="D5" s="13" t="s">
        <v>69</v>
      </c>
      <c r="E5" s="13" t="s">
        <v>70</v>
      </c>
      <c r="F5" s="13" t="s">
        <v>71</v>
      </c>
      <c r="G5" s="128" t="s">
        <v>180</v>
      </c>
    </row>
    <row r="6" spans="1:7" ht="15.75" x14ac:dyDescent="0.2">
      <c r="A6" s="3"/>
      <c r="B6" s="7"/>
      <c r="C6" s="7"/>
      <c r="D6" s="7"/>
      <c r="E6" s="7"/>
      <c r="F6" s="7"/>
    </row>
    <row r="7" spans="1:7" ht="42.75" x14ac:dyDescent="0.2">
      <c r="A7" s="131" t="s">
        <v>143</v>
      </c>
      <c r="B7" s="65">
        <v>-1</v>
      </c>
      <c r="C7" s="65">
        <v>-1</v>
      </c>
      <c r="D7" s="65">
        <v>-1</v>
      </c>
      <c r="E7" s="65">
        <v>-1</v>
      </c>
      <c r="F7" s="65">
        <v>0</v>
      </c>
      <c r="G7" s="75" t="s">
        <v>150</v>
      </c>
    </row>
    <row r="8" spans="1:7" x14ac:dyDescent="0.2">
      <c r="A8" s="3" t="s">
        <v>128</v>
      </c>
      <c r="B8" s="65">
        <v>-1</v>
      </c>
      <c r="C8" s="65">
        <v>0</v>
      </c>
      <c r="D8" s="65">
        <v>0</v>
      </c>
      <c r="E8" s="65">
        <v>0</v>
      </c>
      <c r="F8" s="65">
        <v>0</v>
      </c>
      <c r="G8" s="128" t="s">
        <v>175</v>
      </c>
    </row>
    <row r="9" spans="1:7" ht="28.5" x14ac:dyDescent="0.2">
      <c r="A9" s="3" t="s">
        <v>129</v>
      </c>
      <c r="B9" s="65">
        <v>-2</v>
      </c>
      <c r="C9" s="65">
        <v>-1</v>
      </c>
      <c r="D9" s="65">
        <v>-1</v>
      </c>
      <c r="E9" s="65">
        <v>-1</v>
      </c>
      <c r="F9" s="65">
        <v>0</v>
      </c>
      <c r="G9" s="128" t="s">
        <v>177</v>
      </c>
    </row>
    <row r="10" spans="1:7" x14ac:dyDescent="0.2">
      <c r="A10" s="3" t="s">
        <v>130</v>
      </c>
      <c r="B10" s="65">
        <v>-2</v>
      </c>
      <c r="C10" s="65">
        <v>-1</v>
      </c>
      <c r="D10" s="65">
        <v>-1</v>
      </c>
      <c r="E10" s="65">
        <v>-1</v>
      </c>
      <c r="F10" s="65">
        <v>0</v>
      </c>
      <c r="G10" s="128" t="s">
        <v>176</v>
      </c>
    </row>
    <row r="11" spans="1:7" ht="42.75" x14ac:dyDescent="0.2">
      <c r="A11" s="3" t="s">
        <v>131</v>
      </c>
      <c r="B11" s="65">
        <v>0</v>
      </c>
      <c r="C11" s="65">
        <v>0</v>
      </c>
      <c r="D11" s="65">
        <v>0</v>
      </c>
      <c r="E11" s="65">
        <v>0</v>
      </c>
      <c r="F11" s="65">
        <v>0</v>
      </c>
      <c r="G11" s="128" t="s">
        <v>179</v>
      </c>
    </row>
    <row r="12" spans="1:7" ht="15.75" x14ac:dyDescent="0.2">
      <c r="A12" s="3"/>
      <c r="B12" s="7"/>
      <c r="C12" s="7"/>
      <c r="D12" s="7"/>
      <c r="E12" s="7"/>
      <c r="F12" s="7"/>
    </row>
    <row r="13" spans="1:7" ht="71.25" x14ac:dyDescent="0.2">
      <c r="A13" s="131" t="s">
        <v>119</v>
      </c>
      <c r="B13" s="65">
        <v>-1</v>
      </c>
      <c r="C13" s="65">
        <v>-1</v>
      </c>
      <c r="D13" s="65">
        <v>0</v>
      </c>
      <c r="E13" s="65">
        <v>-1</v>
      </c>
      <c r="F13" s="65">
        <v>0</v>
      </c>
      <c r="G13" s="128" t="s">
        <v>202</v>
      </c>
    </row>
    <row r="14" spans="1:7" ht="30" x14ac:dyDescent="0.2">
      <c r="A14" s="3" t="s">
        <v>120</v>
      </c>
      <c r="B14" s="65">
        <v>-1</v>
      </c>
      <c r="C14" s="65">
        <v>0</v>
      </c>
      <c r="D14" s="65">
        <v>0</v>
      </c>
      <c r="E14" s="65">
        <v>0</v>
      </c>
      <c r="F14" s="65">
        <v>0</v>
      </c>
      <c r="G14" s="128" t="s">
        <v>177</v>
      </c>
    </row>
    <row r="15" spans="1:7" ht="30" x14ac:dyDescent="0.2">
      <c r="A15" s="3" t="s">
        <v>121</v>
      </c>
      <c r="B15" s="65">
        <v>-1</v>
      </c>
      <c r="C15" s="65">
        <v>0</v>
      </c>
      <c r="D15" s="65">
        <v>0</v>
      </c>
      <c r="E15" s="65">
        <v>0</v>
      </c>
      <c r="F15" s="65">
        <v>0</v>
      </c>
      <c r="G15" s="128" t="s">
        <v>177</v>
      </c>
    </row>
    <row r="16" spans="1:7" ht="30" x14ac:dyDescent="0.2">
      <c r="A16" s="3" t="s">
        <v>122</v>
      </c>
      <c r="B16" s="65">
        <v>0</v>
      </c>
      <c r="C16" s="65">
        <v>0</v>
      </c>
      <c r="D16" s="65">
        <v>0</v>
      </c>
      <c r="E16" s="65">
        <v>0</v>
      </c>
      <c r="F16" s="65">
        <v>0</v>
      </c>
      <c r="G16" s="128" t="s">
        <v>175</v>
      </c>
    </row>
    <row r="17" spans="1:7" ht="30" x14ac:dyDescent="0.2">
      <c r="A17" s="3" t="s">
        <v>123</v>
      </c>
      <c r="B17" s="65">
        <v>0</v>
      </c>
      <c r="C17" s="65">
        <v>0</v>
      </c>
      <c r="D17" s="65">
        <v>0</v>
      </c>
      <c r="E17" s="65">
        <v>0</v>
      </c>
      <c r="F17" s="65">
        <v>0</v>
      </c>
      <c r="G17" s="128" t="s">
        <v>175</v>
      </c>
    </row>
    <row r="18" spans="1:7" ht="15.75" x14ac:dyDescent="0.2">
      <c r="A18" s="3"/>
      <c r="B18" s="7"/>
      <c r="C18" s="7"/>
      <c r="D18" s="7"/>
      <c r="E18" s="7"/>
      <c r="F18" s="7"/>
    </row>
    <row r="19" spans="1:7" ht="42.75" x14ac:dyDescent="0.2">
      <c r="A19" s="131" t="s">
        <v>184</v>
      </c>
      <c r="B19" s="65">
        <v>-1</v>
      </c>
      <c r="C19" s="65">
        <v>-1</v>
      </c>
      <c r="D19" s="65">
        <v>-1</v>
      </c>
      <c r="E19" s="65">
        <v>-1</v>
      </c>
      <c r="F19" s="65">
        <v>0</v>
      </c>
      <c r="G19" s="75" t="s">
        <v>151</v>
      </c>
    </row>
    <row r="20" spans="1:7" ht="30" x14ac:dyDescent="0.2">
      <c r="A20" s="3" t="s">
        <v>124</v>
      </c>
      <c r="B20" s="65">
        <v>0</v>
      </c>
      <c r="C20" s="65">
        <v>0</v>
      </c>
      <c r="D20" s="65">
        <v>0</v>
      </c>
      <c r="E20" s="65">
        <v>0</v>
      </c>
      <c r="F20" s="65">
        <v>0</v>
      </c>
      <c r="G20" s="128" t="s">
        <v>175</v>
      </c>
    </row>
    <row r="21" spans="1:7" ht="30" x14ac:dyDescent="0.2">
      <c r="A21" s="3" t="s">
        <v>125</v>
      </c>
      <c r="B21" s="65">
        <v>-2</v>
      </c>
      <c r="C21" s="65">
        <v>-1</v>
      </c>
      <c r="D21" s="65">
        <v>-1</v>
      </c>
      <c r="E21" s="65">
        <v>-1</v>
      </c>
      <c r="F21" s="65">
        <v>0</v>
      </c>
      <c r="G21" s="128" t="s">
        <v>176</v>
      </c>
    </row>
    <row r="22" spans="1:7" ht="30" x14ac:dyDescent="0.2">
      <c r="A22" s="3" t="s">
        <v>126</v>
      </c>
      <c r="B22" s="65">
        <v>-1</v>
      </c>
      <c r="C22" s="65">
        <v>0</v>
      </c>
      <c r="D22" s="65">
        <v>0</v>
      </c>
      <c r="E22" s="65">
        <v>0</v>
      </c>
      <c r="F22" s="65">
        <v>0</v>
      </c>
      <c r="G22" s="128" t="s">
        <v>177</v>
      </c>
    </row>
    <row r="23" spans="1:7" ht="30" x14ac:dyDescent="0.2">
      <c r="A23" s="3" t="s">
        <v>127</v>
      </c>
      <c r="B23" s="65">
        <v>-1</v>
      </c>
      <c r="C23" s="65">
        <v>0</v>
      </c>
      <c r="D23" s="65">
        <v>0</v>
      </c>
      <c r="E23" s="65">
        <v>0</v>
      </c>
      <c r="F23" s="65">
        <v>0</v>
      </c>
      <c r="G23" s="128" t="s">
        <v>178</v>
      </c>
    </row>
    <row r="24" spans="1:7" ht="15.75" x14ac:dyDescent="0.2">
      <c r="A24" s="3"/>
      <c r="B24" s="7"/>
      <c r="C24" s="7"/>
      <c r="D24" s="7"/>
      <c r="E24" s="7"/>
      <c r="F24" s="7"/>
    </row>
    <row r="25" spans="1:7" s="50" customFormat="1" ht="15.75" customHeight="1" x14ac:dyDescent="0.25">
      <c r="A25" s="49"/>
      <c r="G25" s="127"/>
    </row>
    <row r="26" spans="1:7" s="127" customFormat="1" ht="60.75" thickBot="1" x14ac:dyDescent="0.25">
      <c r="A26" s="175" t="s">
        <v>197</v>
      </c>
      <c r="B26" s="13" t="str">
        <f>B5</f>
        <v>Base (No cash anywhere)</v>
      </c>
      <c r="C26" s="13" t="str">
        <f t="shared" ref="C26:F26" si="0">C5</f>
        <v>Scenario 1 (Base Case, No cash anywhere, Adds Retail Network)</v>
      </c>
      <c r="D26" s="13" t="str">
        <f t="shared" si="0"/>
        <v>Scenario 2 (Cash on board, not at TVMs)</v>
      </c>
      <c r="E26" s="13" t="str">
        <f t="shared" si="0"/>
        <v>Scenario 3 (Cash only at TVMs)</v>
      </c>
      <c r="F26" s="13" t="str">
        <f t="shared" si="0"/>
        <v>Scenario 4 (Cash accepted everywhere)</v>
      </c>
    </row>
    <row r="27" spans="1:7" s="50" customFormat="1" ht="15.75" customHeight="1" x14ac:dyDescent="0.2">
      <c r="A27" s="66" t="s">
        <v>174</v>
      </c>
      <c r="B27" s="67">
        <f>AVERAGE(B7,B13,B19)</f>
        <v>-1</v>
      </c>
      <c r="C27" s="67">
        <f>AVERAGE(C7,C13,C19)</f>
        <v>-1</v>
      </c>
      <c r="D27" s="67">
        <f>AVERAGE(D7,D13,D19)</f>
        <v>-0.66666666666666663</v>
      </c>
      <c r="E27" s="67">
        <f>AVERAGE(E7,E13,E19)</f>
        <v>-1</v>
      </c>
      <c r="F27" s="68">
        <f>AVERAGE(F7,F13,F19)</f>
        <v>0</v>
      </c>
      <c r="G27" s="127"/>
    </row>
    <row r="28" spans="1:7" s="50" customFormat="1" ht="15.75" customHeight="1" x14ac:dyDescent="0.2">
      <c r="A28" s="69" t="s">
        <v>149</v>
      </c>
      <c r="B28" s="52">
        <f>AVERAGE(B8:B11,B14:B17,B20:B23)</f>
        <v>-0.91666666666666663</v>
      </c>
      <c r="C28" s="52">
        <f>AVERAGE(C8:C11,C14:C17,C20:C23)</f>
        <v>-0.25</v>
      </c>
      <c r="D28" s="52">
        <f>AVERAGE(D8:D11,D14:D17,D20:D23)</f>
        <v>-0.25</v>
      </c>
      <c r="E28" s="52">
        <f>AVERAGE(E8:E11,E14:E17,E20:E23)</f>
        <v>-0.25</v>
      </c>
      <c r="F28" s="70">
        <f>AVERAGE(F8:F11,F14:F17,F20:F23)</f>
        <v>0</v>
      </c>
      <c r="G28" s="127"/>
    </row>
    <row r="29" spans="1:7" s="50" customFormat="1" ht="15.75" customHeight="1" x14ac:dyDescent="0.2">
      <c r="A29" s="69" t="s">
        <v>139</v>
      </c>
      <c r="B29" s="52">
        <f t="shared" ref="B29:F32" si="1">AVERAGE(B8,B14,B20)</f>
        <v>-0.66666666666666663</v>
      </c>
      <c r="C29" s="52">
        <f t="shared" si="1"/>
        <v>0</v>
      </c>
      <c r="D29" s="52">
        <f t="shared" si="1"/>
        <v>0</v>
      </c>
      <c r="E29" s="52">
        <f t="shared" si="1"/>
        <v>0</v>
      </c>
      <c r="F29" s="70">
        <f t="shared" si="1"/>
        <v>0</v>
      </c>
      <c r="G29" s="127"/>
    </row>
    <row r="30" spans="1:7" s="50" customFormat="1" ht="15.75" customHeight="1" x14ac:dyDescent="0.2">
      <c r="A30" s="69" t="s">
        <v>140</v>
      </c>
      <c r="B30" s="52">
        <f>AVERAGE(B9,B15,B21)</f>
        <v>-1.6666666666666667</v>
      </c>
      <c r="C30" s="52">
        <f t="shared" si="1"/>
        <v>-0.66666666666666663</v>
      </c>
      <c r="D30" s="52">
        <f t="shared" si="1"/>
        <v>-0.66666666666666663</v>
      </c>
      <c r="E30" s="52">
        <f t="shared" si="1"/>
        <v>-0.66666666666666663</v>
      </c>
      <c r="F30" s="70">
        <f t="shared" si="1"/>
        <v>0</v>
      </c>
      <c r="G30" s="127"/>
    </row>
    <row r="31" spans="1:7" s="50" customFormat="1" ht="15.75" customHeight="1" x14ac:dyDescent="0.2">
      <c r="A31" s="69" t="s">
        <v>141</v>
      </c>
      <c r="B31" s="52">
        <f t="shared" si="1"/>
        <v>-1</v>
      </c>
      <c r="C31" s="52">
        <f t="shared" si="1"/>
        <v>-0.33333333333333331</v>
      </c>
      <c r="D31" s="52">
        <f t="shared" si="1"/>
        <v>-0.33333333333333331</v>
      </c>
      <c r="E31" s="52">
        <f t="shared" si="1"/>
        <v>-0.33333333333333331</v>
      </c>
      <c r="F31" s="70">
        <f t="shared" si="1"/>
        <v>0</v>
      </c>
      <c r="G31" s="127"/>
    </row>
    <row r="32" spans="1:7" s="50" customFormat="1" ht="15.75" customHeight="1" x14ac:dyDescent="0.2">
      <c r="A32" s="69" t="s">
        <v>142</v>
      </c>
      <c r="B32" s="52">
        <f t="shared" si="1"/>
        <v>-0.33333333333333331</v>
      </c>
      <c r="C32" s="52">
        <f t="shared" si="1"/>
        <v>0</v>
      </c>
      <c r="D32" s="52">
        <f t="shared" si="1"/>
        <v>0</v>
      </c>
      <c r="E32" s="52">
        <f t="shared" si="1"/>
        <v>0</v>
      </c>
      <c r="F32" s="70">
        <f t="shared" si="1"/>
        <v>0</v>
      </c>
      <c r="G32" s="127"/>
    </row>
    <row r="33" spans="1:7" s="50" customFormat="1" ht="15.75" customHeight="1" x14ac:dyDescent="0.2">
      <c r="A33" s="130" t="s">
        <v>185</v>
      </c>
      <c r="B33" s="52">
        <f>AVERAGE(B7:B23)</f>
        <v>-0.93333333333333335</v>
      </c>
      <c r="C33" s="52">
        <f t="shared" ref="C33:F33" si="2">AVERAGE(C7:C23)</f>
        <v>-0.4</v>
      </c>
      <c r="D33" s="52">
        <f t="shared" si="2"/>
        <v>-0.33333333333333331</v>
      </c>
      <c r="E33" s="52">
        <f t="shared" si="2"/>
        <v>-0.4</v>
      </c>
      <c r="F33" s="52">
        <f t="shared" si="2"/>
        <v>0</v>
      </c>
      <c r="G33" s="127"/>
    </row>
    <row r="34" spans="1:7" s="50" customFormat="1" ht="15.75" customHeight="1" x14ac:dyDescent="0.25">
      <c r="A34" s="49"/>
      <c r="G34" s="127"/>
    </row>
    <row r="35" spans="1:7" s="50" customFormat="1" ht="15.75" customHeight="1" x14ac:dyDescent="0.25">
      <c r="A35" s="49"/>
      <c r="G35" s="127"/>
    </row>
    <row r="36" spans="1:7" s="50" customFormat="1" ht="15.75" customHeight="1" x14ac:dyDescent="0.25">
      <c r="A36" s="49"/>
      <c r="G36" s="127"/>
    </row>
    <row r="37" spans="1:7" s="50" customFormat="1" ht="15.75" customHeight="1" x14ac:dyDescent="0.25">
      <c r="A37" s="49"/>
      <c r="G37" s="127"/>
    </row>
    <row r="38" spans="1:7" s="50" customFormat="1" ht="15.75" customHeight="1" x14ac:dyDescent="0.25">
      <c r="A38" s="49"/>
      <c r="G38" s="127"/>
    </row>
    <row r="39" spans="1:7" s="50" customFormat="1" ht="15.75" customHeight="1" x14ac:dyDescent="0.25">
      <c r="A39" s="49"/>
      <c r="G39" s="127"/>
    </row>
    <row r="40" spans="1:7" s="50" customFormat="1" ht="15.75" customHeight="1" x14ac:dyDescent="0.25">
      <c r="A40" s="49"/>
      <c r="G40" s="127"/>
    </row>
    <row r="41" spans="1:7" s="50" customFormat="1" ht="15.75" customHeight="1" x14ac:dyDescent="0.25">
      <c r="A41" s="49"/>
      <c r="G41" s="127"/>
    </row>
    <row r="42" spans="1:7" s="50" customFormat="1" ht="15.75" customHeight="1" x14ac:dyDescent="0.25">
      <c r="A42" s="49"/>
      <c r="G42" s="127"/>
    </row>
    <row r="43" spans="1:7" s="50" customFormat="1" ht="15.75" customHeight="1" x14ac:dyDescent="0.25">
      <c r="A43" s="49"/>
      <c r="G43" s="127"/>
    </row>
    <row r="44" spans="1:7" s="50" customFormat="1" ht="15.75" customHeight="1" x14ac:dyDescent="0.25">
      <c r="A44" s="49"/>
      <c r="G44" s="127"/>
    </row>
    <row r="45" spans="1:7" s="50" customFormat="1" ht="15.75" customHeight="1" x14ac:dyDescent="0.25">
      <c r="A45" s="49"/>
      <c r="G45" s="127"/>
    </row>
    <row r="46" spans="1:7" s="50" customFormat="1" ht="15.75" customHeight="1" x14ac:dyDescent="0.25">
      <c r="A46" s="49"/>
      <c r="G46" s="127"/>
    </row>
    <row r="47" spans="1:7" s="50" customFormat="1" ht="15.75" customHeight="1" x14ac:dyDescent="0.25">
      <c r="A47" s="49"/>
      <c r="G47" s="127"/>
    </row>
    <row r="48" spans="1:7" s="50" customFormat="1" ht="15.75" customHeight="1" x14ac:dyDescent="0.25">
      <c r="A48" s="49"/>
      <c r="G48" s="127"/>
    </row>
    <row r="49" spans="1:7" s="50" customFormat="1" ht="15.75" customHeight="1" x14ac:dyDescent="0.25">
      <c r="A49" s="49"/>
      <c r="G49" s="127"/>
    </row>
    <row r="50" spans="1:7" s="50" customFormat="1" ht="15.75" customHeight="1" x14ac:dyDescent="0.25">
      <c r="A50" s="49"/>
      <c r="G50" s="127"/>
    </row>
    <row r="51" spans="1:7" s="50" customFormat="1" ht="15.75" customHeight="1" x14ac:dyDescent="0.25">
      <c r="A51" s="49"/>
      <c r="G51" s="127"/>
    </row>
    <row r="52" spans="1:7" s="50" customFormat="1" ht="15.75" customHeight="1" x14ac:dyDescent="0.25">
      <c r="A52" s="49"/>
      <c r="G52" s="127"/>
    </row>
    <row r="53" spans="1:7" s="50" customFormat="1" ht="15.75" customHeight="1" x14ac:dyDescent="0.25">
      <c r="A53" s="49"/>
      <c r="G53" s="127"/>
    </row>
    <row r="54" spans="1:7" s="50" customFormat="1" ht="15.75" customHeight="1" x14ac:dyDescent="0.25">
      <c r="A54" s="49"/>
      <c r="G54" s="127"/>
    </row>
    <row r="55" spans="1:7" s="50" customFormat="1" ht="15.75" customHeight="1" x14ac:dyDescent="0.25">
      <c r="A55" s="49"/>
      <c r="G55" s="127"/>
    </row>
    <row r="56" spans="1:7" s="50" customFormat="1" ht="15.75" customHeight="1" x14ac:dyDescent="0.25">
      <c r="A56" s="49"/>
      <c r="G56" s="127"/>
    </row>
    <row r="57" spans="1:7" s="50" customFormat="1" ht="15.75" customHeight="1" x14ac:dyDescent="0.25">
      <c r="A57" s="49"/>
      <c r="G57" s="127"/>
    </row>
    <row r="58" spans="1:7" s="50" customFormat="1" ht="15.75" customHeight="1" x14ac:dyDescent="0.25">
      <c r="A58" s="49"/>
      <c r="G58" s="127"/>
    </row>
    <row r="59" spans="1:7" s="50" customFormat="1" ht="15.75" customHeight="1" x14ac:dyDescent="0.25">
      <c r="A59" s="49"/>
      <c r="G59" s="127"/>
    </row>
    <row r="60" spans="1:7" s="50" customFormat="1" ht="15.75" customHeight="1" x14ac:dyDescent="0.25">
      <c r="A60" s="49"/>
      <c r="G60" s="127"/>
    </row>
    <row r="61" spans="1:7" s="50" customFormat="1" ht="15.75" customHeight="1" x14ac:dyDescent="0.25">
      <c r="A61" s="49"/>
      <c r="G61" s="127"/>
    </row>
    <row r="62" spans="1:7" s="50" customFormat="1" ht="15.75" customHeight="1" x14ac:dyDescent="0.25">
      <c r="A62" s="49"/>
      <c r="G62" s="127"/>
    </row>
    <row r="63" spans="1:7" s="50" customFormat="1" ht="15.75" customHeight="1" x14ac:dyDescent="0.25">
      <c r="A63" s="49"/>
      <c r="G63" s="127"/>
    </row>
    <row r="64" spans="1:7" s="50" customFormat="1" ht="15.75" customHeight="1" x14ac:dyDescent="0.25">
      <c r="A64" s="49"/>
      <c r="G64" s="127"/>
    </row>
    <row r="65" spans="1:7" s="50" customFormat="1" ht="15.75" customHeight="1" x14ac:dyDescent="0.25">
      <c r="A65" s="49"/>
      <c r="G65" s="127"/>
    </row>
    <row r="66" spans="1:7" s="50" customFormat="1" ht="15.75" customHeight="1" x14ac:dyDescent="0.25">
      <c r="A66" s="49"/>
      <c r="G66" s="127"/>
    </row>
    <row r="67" spans="1:7" s="50" customFormat="1" ht="15.75" customHeight="1" x14ac:dyDescent="0.25">
      <c r="A67" s="49"/>
      <c r="G67" s="127"/>
    </row>
    <row r="68" spans="1:7" s="50" customFormat="1" ht="15.75" customHeight="1" x14ac:dyDescent="0.25">
      <c r="A68" s="49"/>
      <c r="G68" s="127"/>
    </row>
    <row r="69" spans="1:7" s="50" customFormat="1" ht="15.75" customHeight="1" x14ac:dyDescent="0.25">
      <c r="A69" s="49"/>
      <c r="G69" s="127"/>
    </row>
    <row r="70" spans="1:7" s="50" customFormat="1" ht="15.75" customHeight="1" x14ac:dyDescent="0.25">
      <c r="A70" s="49"/>
      <c r="G70" s="127"/>
    </row>
    <row r="71" spans="1:7" s="50" customFormat="1" ht="15.75" customHeight="1" x14ac:dyDescent="0.25">
      <c r="A71" s="49"/>
      <c r="G71" s="127"/>
    </row>
    <row r="72" spans="1:7" s="50" customFormat="1" ht="15.75" customHeight="1" x14ac:dyDescent="0.25">
      <c r="A72" s="49"/>
      <c r="G72" s="127"/>
    </row>
    <row r="73" spans="1:7" s="50" customFormat="1" ht="15.75" customHeight="1" x14ac:dyDescent="0.25">
      <c r="A73" s="49"/>
      <c r="G73" s="127"/>
    </row>
    <row r="74" spans="1:7" s="50" customFormat="1" ht="15.75" customHeight="1" x14ac:dyDescent="0.25">
      <c r="A74" s="49"/>
      <c r="G74" s="127"/>
    </row>
    <row r="75" spans="1:7" s="50" customFormat="1" ht="15.75" customHeight="1" x14ac:dyDescent="0.25">
      <c r="A75" s="49"/>
      <c r="G75" s="127"/>
    </row>
    <row r="76" spans="1:7" s="50" customFormat="1" ht="15.75" customHeight="1" x14ac:dyDescent="0.25">
      <c r="A76" s="49"/>
      <c r="G76" s="127"/>
    </row>
    <row r="77" spans="1:7" s="50" customFormat="1" ht="15.75" customHeight="1" x14ac:dyDescent="0.25">
      <c r="A77" s="49"/>
      <c r="G77" s="127"/>
    </row>
    <row r="78" spans="1:7" s="50" customFormat="1" ht="15.75" customHeight="1" x14ac:dyDescent="0.25">
      <c r="A78" s="49"/>
      <c r="G78" s="127"/>
    </row>
    <row r="79" spans="1:7" s="50" customFormat="1" ht="15.75" customHeight="1" x14ac:dyDescent="0.25">
      <c r="A79" s="49"/>
      <c r="G79" s="127"/>
    </row>
    <row r="80" spans="1:7" s="50" customFormat="1" ht="15.75" customHeight="1" x14ac:dyDescent="0.25">
      <c r="A80" s="49"/>
      <c r="G80" s="127"/>
    </row>
    <row r="81" spans="1:7" s="50" customFormat="1" ht="15.75" customHeight="1" x14ac:dyDescent="0.25">
      <c r="A81" s="49"/>
      <c r="G81" s="127"/>
    </row>
    <row r="82" spans="1:7" s="50" customFormat="1" ht="15.75" customHeight="1" x14ac:dyDescent="0.25">
      <c r="A82" s="49"/>
      <c r="G82" s="127"/>
    </row>
    <row r="83" spans="1:7" s="50" customFormat="1" ht="15.75" customHeight="1" x14ac:dyDescent="0.25">
      <c r="A83" s="49"/>
      <c r="G83" s="127"/>
    </row>
    <row r="84" spans="1:7" s="50" customFormat="1" ht="15.75" customHeight="1" x14ac:dyDescent="0.25">
      <c r="A84" s="49"/>
      <c r="G84" s="127"/>
    </row>
    <row r="85" spans="1:7" s="50" customFormat="1" ht="15.75" customHeight="1" x14ac:dyDescent="0.25">
      <c r="A85" s="49"/>
      <c r="G85" s="127"/>
    </row>
    <row r="86" spans="1:7" s="50" customFormat="1" ht="15.75" customHeight="1" x14ac:dyDescent="0.25">
      <c r="A86" s="49"/>
      <c r="G86" s="127"/>
    </row>
    <row r="87" spans="1:7" s="50" customFormat="1" ht="15.75" customHeight="1" x14ac:dyDescent="0.25">
      <c r="A87" s="49"/>
      <c r="G87" s="127"/>
    </row>
    <row r="88" spans="1:7" s="50" customFormat="1" ht="15.75" customHeight="1" x14ac:dyDescent="0.25">
      <c r="A88" s="49"/>
      <c r="G88" s="127"/>
    </row>
    <row r="89" spans="1:7" s="50" customFormat="1" ht="15.75" customHeight="1" x14ac:dyDescent="0.25">
      <c r="A89" s="49"/>
      <c r="G89" s="127"/>
    </row>
    <row r="90" spans="1:7" s="50" customFormat="1" ht="15.75" customHeight="1" x14ac:dyDescent="0.25">
      <c r="A90" s="49"/>
      <c r="G90" s="127"/>
    </row>
    <row r="91" spans="1:7" s="50" customFormat="1" ht="15.75" customHeight="1" x14ac:dyDescent="0.25">
      <c r="A91" s="49"/>
      <c r="G91" s="127"/>
    </row>
    <row r="92" spans="1:7" s="50" customFormat="1" ht="15.75" customHeight="1" x14ac:dyDescent="0.25">
      <c r="A92" s="49"/>
      <c r="G92" s="127"/>
    </row>
    <row r="93" spans="1:7" s="50" customFormat="1" ht="15.75" customHeight="1" x14ac:dyDescent="0.25">
      <c r="A93" s="49"/>
      <c r="G93" s="127"/>
    </row>
    <row r="94" spans="1:7" s="50" customFormat="1" ht="15.75" customHeight="1" x14ac:dyDescent="0.25">
      <c r="A94" s="49"/>
      <c r="G94" s="127"/>
    </row>
    <row r="95" spans="1:7" s="50" customFormat="1" ht="15.75" customHeight="1" x14ac:dyDescent="0.25">
      <c r="A95" s="49"/>
      <c r="G95" s="127"/>
    </row>
    <row r="96" spans="1:7" s="50" customFormat="1" ht="15.75" customHeight="1" x14ac:dyDescent="0.25">
      <c r="A96" s="49"/>
      <c r="G96" s="127"/>
    </row>
    <row r="97" spans="1:7" s="50" customFormat="1" ht="15.75" customHeight="1" x14ac:dyDescent="0.25">
      <c r="A97" s="49"/>
      <c r="G97" s="127"/>
    </row>
    <row r="98" spans="1:7" s="50" customFormat="1" ht="15.75" customHeight="1" x14ac:dyDescent="0.25">
      <c r="A98" s="49"/>
      <c r="G98" s="127"/>
    </row>
    <row r="99" spans="1:7" s="50" customFormat="1" ht="15.75" customHeight="1" x14ac:dyDescent="0.25">
      <c r="A99" s="49"/>
      <c r="G99" s="127"/>
    </row>
    <row r="100" spans="1:7" s="50" customFormat="1" ht="15.75" customHeight="1" x14ac:dyDescent="0.25">
      <c r="A100" s="49"/>
      <c r="G100" s="127"/>
    </row>
    <row r="101" spans="1:7" s="50" customFormat="1" ht="15.75" customHeight="1" x14ac:dyDescent="0.25">
      <c r="A101" s="49"/>
      <c r="G101" s="127"/>
    </row>
    <row r="102" spans="1:7" s="50" customFormat="1" ht="15.75" customHeight="1" x14ac:dyDescent="0.25">
      <c r="A102" s="49"/>
      <c r="G102" s="127"/>
    </row>
    <row r="103" spans="1:7" s="50" customFormat="1" ht="15.75" customHeight="1" x14ac:dyDescent="0.25">
      <c r="A103" s="49"/>
      <c r="G103" s="127"/>
    </row>
    <row r="104" spans="1:7" s="50" customFormat="1" ht="15.75" customHeight="1" x14ac:dyDescent="0.25">
      <c r="A104" s="49"/>
      <c r="G104" s="127"/>
    </row>
    <row r="105" spans="1:7" s="50" customFormat="1" ht="15.75" customHeight="1" x14ac:dyDescent="0.25">
      <c r="A105" s="49"/>
      <c r="G105" s="127"/>
    </row>
    <row r="106" spans="1:7" s="50" customFormat="1" ht="15.75" customHeight="1" x14ac:dyDescent="0.25">
      <c r="A106" s="49"/>
      <c r="G106" s="127"/>
    </row>
    <row r="107" spans="1:7" s="50" customFormat="1" ht="15.75" customHeight="1" x14ac:dyDescent="0.25">
      <c r="A107" s="49"/>
      <c r="G107" s="127"/>
    </row>
    <row r="108" spans="1:7" s="50" customFormat="1" ht="15.75" customHeight="1" x14ac:dyDescent="0.25">
      <c r="A108" s="49"/>
      <c r="G108" s="127"/>
    </row>
    <row r="109" spans="1:7" s="50" customFormat="1" ht="15.75" customHeight="1" x14ac:dyDescent="0.25">
      <c r="A109" s="49"/>
      <c r="G109" s="127"/>
    </row>
    <row r="110" spans="1:7" s="50" customFormat="1" ht="15.75" customHeight="1" x14ac:dyDescent="0.25">
      <c r="A110" s="49"/>
      <c r="G110" s="127"/>
    </row>
    <row r="111" spans="1:7" s="50" customFormat="1" ht="15.75" customHeight="1" x14ac:dyDescent="0.25">
      <c r="A111" s="49"/>
      <c r="G111" s="127"/>
    </row>
    <row r="112" spans="1:7" s="50" customFormat="1" ht="15.75" customHeight="1" x14ac:dyDescent="0.25">
      <c r="A112" s="49"/>
      <c r="G112" s="127"/>
    </row>
    <row r="113" spans="1:7" s="50" customFormat="1" ht="15.75" customHeight="1" x14ac:dyDescent="0.25">
      <c r="A113" s="49"/>
      <c r="G113" s="127"/>
    </row>
    <row r="114" spans="1:7" s="50" customFormat="1" ht="15.75" customHeight="1" x14ac:dyDescent="0.25">
      <c r="A114" s="49"/>
      <c r="G114" s="127"/>
    </row>
    <row r="115" spans="1:7" s="50" customFormat="1" ht="15.75" customHeight="1" x14ac:dyDescent="0.25">
      <c r="A115" s="49"/>
      <c r="G115" s="127"/>
    </row>
    <row r="116" spans="1:7" s="50" customFormat="1" ht="15.75" customHeight="1" x14ac:dyDescent="0.25">
      <c r="A116" s="49"/>
      <c r="G116" s="127"/>
    </row>
    <row r="117" spans="1:7" s="50" customFormat="1" ht="15.75" customHeight="1" x14ac:dyDescent="0.25">
      <c r="A117" s="49"/>
      <c r="G117" s="127"/>
    </row>
    <row r="118" spans="1:7" s="50" customFormat="1" ht="15.75" customHeight="1" x14ac:dyDescent="0.25">
      <c r="A118" s="49"/>
      <c r="G118" s="127"/>
    </row>
    <row r="119" spans="1:7" s="50" customFormat="1" ht="15.75" customHeight="1" x14ac:dyDescent="0.25">
      <c r="A119" s="49"/>
      <c r="G119" s="127"/>
    </row>
    <row r="120" spans="1:7" s="50" customFormat="1" ht="15.75" customHeight="1" x14ac:dyDescent="0.25">
      <c r="A120" s="49"/>
      <c r="G120" s="127"/>
    </row>
    <row r="121" spans="1:7" s="50" customFormat="1" ht="15.75" customHeight="1" x14ac:dyDescent="0.25">
      <c r="A121" s="49"/>
      <c r="G121" s="127"/>
    </row>
    <row r="122" spans="1:7" s="50" customFormat="1" ht="15.75" customHeight="1" x14ac:dyDescent="0.25">
      <c r="A122" s="49"/>
      <c r="G122" s="127"/>
    </row>
    <row r="123" spans="1:7" s="50" customFormat="1" ht="15.75" customHeight="1" x14ac:dyDescent="0.25">
      <c r="A123" s="49"/>
      <c r="G123" s="127"/>
    </row>
    <row r="124" spans="1:7" s="50" customFormat="1" ht="15.75" customHeight="1" x14ac:dyDescent="0.25">
      <c r="A124" s="49"/>
      <c r="G124" s="127"/>
    </row>
    <row r="125" spans="1:7" s="50" customFormat="1" ht="15.75" customHeight="1" x14ac:dyDescent="0.25">
      <c r="A125" s="49"/>
      <c r="G125" s="127"/>
    </row>
    <row r="126" spans="1:7" s="50" customFormat="1" ht="15.75" customHeight="1" x14ac:dyDescent="0.25">
      <c r="A126" s="49"/>
      <c r="G126" s="127"/>
    </row>
    <row r="127" spans="1:7" s="50" customFormat="1" ht="15.75" customHeight="1" x14ac:dyDescent="0.25">
      <c r="A127" s="49"/>
      <c r="G127" s="127"/>
    </row>
    <row r="128" spans="1:7" s="50" customFormat="1" ht="15.75" customHeight="1" x14ac:dyDescent="0.25">
      <c r="A128" s="49"/>
      <c r="G128" s="127"/>
    </row>
    <row r="129" spans="1:7" s="50" customFormat="1" ht="15.75" customHeight="1" x14ac:dyDescent="0.25">
      <c r="A129" s="49"/>
      <c r="G129" s="127"/>
    </row>
    <row r="130" spans="1:7" s="50" customFormat="1" ht="15.75" customHeight="1" x14ac:dyDescent="0.25">
      <c r="A130" s="49"/>
      <c r="G130" s="127"/>
    </row>
    <row r="131" spans="1:7" s="50" customFormat="1" ht="15.75" customHeight="1" x14ac:dyDescent="0.25">
      <c r="A131" s="49"/>
      <c r="G131" s="127"/>
    </row>
    <row r="132" spans="1:7" s="50" customFormat="1" ht="15.75" customHeight="1" x14ac:dyDescent="0.25">
      <c r="A132" s="49"/>
      <c r="G132" s="127"/>
    </row>
    <row r="133" spans="1:7" s="50" customFormat="1" ht="15.75" customHeight="1" x14ac:dyDescent="0.25">
      <c r="A133" s="49"/>
      <c r="G133" s="127"/>
    </row>
    <row r="134" spans="1:7" s="50" customFormat="1" ht="15.75" customHeight="1" x14ac:dyDescent="0.25">
      <c r="A134" s="49"/>
      <c r="G134" s="127"/>
    </row>
    <row r="135" spans="1:7" s="50" customFormat="1" ht="15.75" customHeight="1" x14ac:dyDescent="0.25">
      <c r="A135" s="49"/>
      <c r="G135" s="127"/>
    </row>
    <row r="136" spans="1:7" s="50" customFormat="1" ht="15.75" customHeight="1" x14ac:dyDescent="0.25">
      <c r="A136" s="49"/>
      <c r="G136" s="127"/>
    </row>
    <row r="137" spans="1:7" s="50" customFormat="1" ht="15.75" customHeight="1" x14ac:dyDescent="0.25">
      <c r="A137" s="49"/>
      <c r="G137" s="127"/>
    </row>
    <row r="138" spans="1:7" s="50" customFormat="1" ht="15.75" customHeight="1" x14ac:dyDescent="0.25">
      <c r="A138" s="49"/>
      <c r="G138" s="127"/>
    </row>
    <row r="139" spans="1:7" s="50" customFormat="1" ht="15.75" customHeight="1" x14ac:dyDescent="0.25">
      <c r="A139" s="49"/>
      <c r="G139" s="127"/>
    </row>
    <row r="140" spans="1:7" s="50" customFormat="1" ht="15.75" customHeight="1" x14ac:dyDescent="0.25">
      <c r="A140" s="49"/>
      <c r="G140" s="127"/>
    </row>
    <row r="141" spans="1:7" s="50" customFormat="1" ht="15.75" customHeight="1" x14ac:dyDescent="0.25">
      <c r="A141" s="49"/>
      <c r="G141" s="127"/>
    </row>
    <row r="142" spans="1:7" s="50" customFormat="1" ht="15.75" customHeight="1" x14ac:dyDescent="0.25">
      <c r="A142" s="49"/>
      <c r="G142" s="127"/>
    </row>
    <row r="143" spans="1:7" s="50" customFormat="1" ht="15.75" customHeight="1" x14ac:dyDescent="0.25">
      <c r="A143" s="49"/>
      <c r="G143" s="127"/>
    </row>
    <row r="144" spans="1:7" s="50" customFormat="1" ht="15.75" customHeight="1" x14ac:dyDescent="0.25">
      <c r="A144" s="49"/>
      <c r="G144" s="127"/>
    </row>
    <row r="145" spans="1:7" s="50" customFormat="1" ht="15.75" customHeight="1" x14ac:dyDescent="0.25">
      <c r="A145" s="49"/>
      <c r="G145" s="127"/>
    </row>
    <row r="146" spans="1:7" s="50" customFormat="1" ht="15.75" customHeight="1" x14ac:dyDescent="0.25">
      <c r="A146" s="49"/>
      <c r="G146" s="127"/>
    </row>
    <row r="147" spans="1:7" s="50" customFormat="1" ht="15.75" customHeight="1" x14ac:dyDescent="0.25">
      <c r="A147" s="49"/>
      <c r="G147" s="127"/>
    </row>
    <row r="148" spans="1:7" s="50" customFormat="1" ht="15.75" customHeight="1" x14ac:dyDescent="0.25">
      <c r="A148" s="49"/>
      <c r="G148" s="127"/>
    </row>
    <row r="149" spans="1:7" s="50" customFormat="1" ht="15.75" customHeight="1" x14ac:dyDescent="0.25">
      <c r="A149" s="49"/>
      <c r="G149" s="127"/>
    </row>
    <row r="150" spans="1:7" s="50" customFormat="1" ht="15.75" customHeight="1" x14ac:dyDescent="0.25">
      <c r="A150" s="49"/>
      <c r="G150" s="127"/>
    </row>
    <row r="151" spans="1:7" s="50" customFormat="1" ht="15.75" customHeight="1" x14ac:dyDescent="0.25">
      <c r="A151" s="49"/>
      <c r="G151" s="127"/>
    </row>
    <row r="152" spans="1:7" s="50" customFormat="1" ht="15.75" customHeight="1" x14ac:dyDescent="0.25">
      <c r="A152" s="49"/>
      <c r="G152" s="127"/>
    </row>
    <row r="153" spans="1:7" s="50" customFormat="1" ht="15.75" customHeight="1" x14ac:dyDescent="0.25">
      <c r="A153" s="49"/>
      <c r="G153" s="127"/>
    </row>
    <row r="154" spans="1:7" s="50" customFormat="1" ht="15.75" customHeight="1" x14ac:dyDescent="0.25">
      <c r="A154" s="49"/>
      <c r="G154" s="127"/>
    </row>
    <row r="155" spans="1:7" s="50" customFormat="1" ht="15.75" customHeight="1" x14ac:dyDescent="0.25">
      <c r="A155" s="49"/>
      <c r="G155" s="127"/>
    </row>
    <row r="156" spans="1:7" s="50" customFormat="1" ht="15.75" customHeight="1" x14ac:dyDescent="0.25">
      <c r="A156" s="49"/>
      <c r="G156" s="127"/>
    </row>
    <row r="157" spans="1:7" s="50" customFormat="1" ht="15.75" customHeight="1" x14ac:dyDescent="0.25">
      <c r="A157" s="49"/>
      <c r="G157" s="127"/>
    </row>
    <row r="158" spans="1:7" s="50" customFormat="1" ht="15.75" customHeight="1" x14ac:dyDescent="0.25">
      <c r="A158" s="49"/>
      <c r="G158" s="127"/>
    </row>
    <row r="159" spans="1:7" s="50" customFormat="1" ht="15.75" customHeight="1" x14ac:dyDescent="0.25">
      <c r="A159" s="49"/>
      <c r="G159" s="127"/>
    </row>
    <row r="160" spans="1:7" s="50" customFormat="1" ht="15.75" customHeight="1" x14ac:dyDescent="0.25">
      <c r="A160" s="49"/>
      <c r="G160" s="127"/>
    </row>
    <row r="161" spans="1:7" s="50" customFormat="1" ht="15.75" customHeight="1" x14ac:dyDescent="0.25">
      <c r="A161" s="49"/>
      <c r="G161" s="127"/>
    </row>
    <row r="162" spans="1:7" s="50" customFormat="1" ht="15.75" customHeight="1" x14ac:dyDescent="0.25">
      <c r="A162" s="49"/>
      <c r="G162" s="127"/>
    </row>
    <row r="163" spans="1:7" s="50" customFormat="1" ht="15.75" customHeight="1" x14ac:dyDescent="0.25">
      <c r="A163" s="49"/>
      <c r="G163" s="127"/>
    </row>
    <row r="164" spans="1:7" s="50" customFormat="1" ht="15.75" customHeight="1" x14ac:dyDescent="0.25">
      <c r="A164" s="49"/>
      <c r="G164" s="127"/>
    </row>
    <row r="165" spans="1:7" ht="15.75" customHeight="1" x14ac:dyDescent="0.25">
      <c r="A165" s="2"/>
    </row>
    <row r="166" spans="1:7" ht="15.75" customHeight="1" x14ac:dyDescent="0.25">
      <c r="A166" s="2"/>
    </row>
    <row r="167" spans="1:7" ht="15.75" customHeight="1" x14ac:dyDescent="0.25">
      <c r="A167" s="2"/>
    </row>
    <row r="168" spans="1:7" ht="15.75" customHeight="1" x14ac:dyDescent="0.25">
      <c r="A168" s="2"/>
    </row>
    <row r="169" spans="1:7" ht="15.75" customHeight="1" x14ac:dyDescent="0.25">
      <c r="A169" s="2"/>
    </row>
    <row r="170" spans="1:7" ht="15.75" customHeight="1" x14ac:dyDescent="0.25">
      <c r="A170" s="2"/>
    </row>
    <row r="171" spans="1:7" ht="15.75" customHeight="1" x14ac:dyDescent="0.25">
      <c r="A171" s="2"/>
    </row>
    <row r="172" spans="1:7" ht="15.75" customHeight="1" x14ac:dyDescent="0.25">
      <c r="A172" s="2"/>
    </row>
    <row r="173" spans="1:7" ht="15.75" customHeight="1" x14ac:dyDescent="0.25">
      <c r="A173" s="2"/>
    </row>
    <row r="174" spans="1:7" ht="15.75" customHeight="1" x14ac:dyDescent="0.25">
      <c r="A174" s="2"/>
    </row>
    <row r="175" spans="1:7" ht="15.75" customHeight="1" x14ac:dyDescent="0.25">
      <c r="A175" s="2"/>
    </row>
    <row r="176" spans="1:7" ht="15.75" customHeight="1" x14ac:dyDescent="0.25">
      <c r="A176" s="2"/>
    </row>
    <row r="177" spans="1:1" ht="15.75" customHeight="1" x14ac:dyDescent="0.25">
      <c r="A177" s="2"/>
    </row>
    <row r="178" spans="1:1" ht="15.75" customHeight="1" x14ac:dyDescent="0.25">
      <c r="A178" s="2"/>
    </row>
    <row r="179" spans="1:1" ht="15.75" customHeight="1" x14ac:dyDescent="0.25">
      <c r="A179" s="2"/>
    </row>
    <row r="180" spans="1:1" ht="15.75" customHeight="1" x14ac:dyDescent="0.25">
      <c r="A180" s="2"/>
    </row>
    <row r="181" spans="1:1" ht="15.75" customHeight="1" x14ac:dyDescent="0.25">
      <c r="A181" s="2"/>
    </row>
    <row r="182" spans="1:1" ht="15.75" customHeight="1" x14ac:dyDescent="0.25">
      <c r="A182" s="2"/>
    </row>
    <row r="183" spans="1:1" ht="15.75" customHeight="1" x14ac:dyDescent="0.25">
      <c r="A183" s="2"/>
    </row>
    <row r="184" spans="1:1" ht="15.75" customHeight="1" x14ac:dyDescent="0.25">
      <c r="A184" s="2"/>
    </row>
    <row r="185" spans="1:1" ht="15.75" customHeight="1" x14ac:dyDescent="0.25">
      <c r="A185" s="2"/>
    </row>
    <row r="186" spans="1:1" ht="15.75" customHeight="1" x14ac:dyDescent="0.25">
      <c r="A186" s="2"/>
    </row>
    <row r="187" spans="1:1" ht="15.75" customHeight="1" x14ac:dyDescent="0.25">
      <c r="A187" s="2"/>
    </row>
    <row r="188" spans="1:1" ht="15.75" customHeight="1" x14ac:dyDescent="0.25">
      <c r="A188" s="2"/>
    </row>
    <row r="189" spans="1:1" ht="15.75" customHeight="1" x14ac:dyDescent="0.25">
      <c r="A189" s="2"/>
    </row>
    <row r="190" spans="1:1" ht="15.75" customHeight="1" x14ac:dyDescent="0.25">
      <c r="A190" s="2"/>
    </row>
    <row r="191" spans="1:1" ht="15.75" customHeight="1" x14ac:dyDescent="0.25">
      <c r="A191" s="2"/>
    </row>
    <row r="192" spans="1:1" ht="15.75" customHeight="1" x14ac:dyDescent="0.25">
      <c r="A192" s="2"/>
    </row>
    <row r="193" spans="1:1" ht="15.75" customHeight="1" x14ac:dyDescent="0.25">
      <c r="A193" s="2"/>
    </row>
    <row r="194" spans="1:1" ht="15.75" customHeight="1" x14ac:dyDescent="0.25">
      <c r="A194" s="2"/>
    </row>
    <row r="195" spans="1:1" ht="15.75" customHeight="1" x14ac:dyDescent="0.25">
      <c r="A195" s="2"/>
    </row>
    <row r="196" spans="1:1" ht="15.75" customHeight="1" x14ac:dyDescent="0.25">
      <c r="A196" s="2"/>
    </row>
    <row r="197" spans="1:1" ht="15.75" customHeight="1" x14ac:dyDescent="0.25">
      <c r="A197" s="2"/>
    </row>
    <row r="198" spans="1:1" ht="15.75" customHeight="1" x14ac:dyDescent="0.25">
      <c r="A198" s="2"/>
    </row>
    <row r="199" spans="1:1" ht="15.75" customHeight="1" x14ac:dyDescent="0.25">
      <c r="A199" s="2"/>
    </row>
    <row r="200" spans="1:1" ht="15.75" customHeight="1" x14ac:dyDescent="0.25">
      <c r="A200" s="2"/>
    </row>
    <row r="201" spans="1:1" ht="15.75" customHeight="1" x14ac:dyDescent="0.25">
      <c r="A201" s="2"/>
    </row>
    <row r="202" spans="1:1" ht="15.75" customHeight="1" x14ac:dyDescent="0.25">
      <c r="A202" s="2"/>
    </row>
    <row r="203" spans="1:1" ht="15.75" customHeight="1" x14ac:dyDescent="0.25">
      <c r="A203" s="2"/>
    </row>
    <row r="204" spans="1:1" ht="15.75" customHeight="1" x14ac:dyDescent="0.25">
      <c r="A204" s="2"/>
    </row>
    <row r="205" spans="1:1" ht="15.75" customHeight="1" x14ac:dyDescent="0.25">
      <c r="A205" s="2"/>
    </row>
    <row r="206" spans="1:1" ht="15.75" customHeight="1" x14ac:dyDescent="0.25">
      <c r="A206" s="2"/>
    </row>
    <row r="207" spans="1:1" ht="15.75" customHeight="1" x14ac:dyDescent="0.25">
      <c r="A207" s="2"/>
    </row>
    <row r="208" spans="1:1" ht="15.75" customHeight="1" x14ac:dyDescent="0.25">
      <c r="A208" s="2"/>
    </row>
    <row r="209" spans="1:1" ht="15.75" customHeight="1" x14ac:dyDescent="0.25">
      <c r="A209" s="2"/>
    </row>
    <row r="210" spans="1:1" ht="15.75" customHeight="1" x14ac:dyDescent="0.25">
      <c r="A210" s="2"/>
    </row>
    <row r="211" spans="1:1" ht="15.75" customHeight="1" x14ac:dyDescent="0.25">
      <c r="A211" s="2"/>
    </row>
    <row r="212" spans="1:1" ht="15.75" customHeight="1" x14ac:dyDescent="0.25">
      <c r="A212" s="2"/>
    </row>
    <row r="213" spans="1:1" ht="15.75" customHeight="1" x14ac:dyDescent="0.25">
      <c r="A213" s="2"/>
    </row>
    <row r="214" spans="1:1" ht="15.75" customHeight="1" x14ac:dyDescent="0.25">
      <c r="A214" s="2"/>
    </row>
    <row r="215" spans="1:1" ht="15.75" customHeight="1" x14ac:dyDescent="0.25">
      <c r="A215" s="2"/>
    </row>
    <row r="216" spans="1:1" ht="15.75" customHeight="1" x14ac:dyDescent="0.25">
      <c r="A216" s="2"/>
    </row>
    <row r="217" spans="1:1" ht="15.75" customHeight="1" x14ac:dyDescent="0.25">
      <c r="A217" s="2"/>
    </row>
    <row r="218" spans="1:1" ht="15.75" customHeight="1" x14ac:dyDescent="0.25">
      <c r="A218" s="2"/>
    </row>
    <row r="219" spans="1:1" ht="15.75" customHeight="1" x14ac:dyDescent="0.25">
      <c r="A219" s="2"/>
    </row>
    <row r="220" spans="1:1" ht="15.75" customHeight="1" x14ac:dyDescent="0.25">
      <c r="A220" s="2"/>
    </row>
    <row r="221" spans="1:1" ht="15.75" customHeight="1" x14ac:dyDescent="0.25">
      <c r="A221" s="2"/>
    </row>
    <row r="222" spans="1:1" ht="15.75" customHeight="1" x14ac:dyDescent="0.25">
      <c r="A222" s="2"/>
    </row>
    <row r="223" spans="1:1" ht="15.75" customHeight="1" x14ac:dyDescent="0.25">
      <c r="A223" s="2"/>
    </row>
    <row r="224" spans="1:1" ht="15.75" customHeight="1" x14ac:dyDescent="0.25">
      <c r="A224" s="2"/>
    </row>
    <row r="225" spans="1:1" ht="15.75" customHeight="1" x14ac:dyDescent="0.25">
      <c r="A225" s="2"/>
    </row>
    <row r="226" spans="1:1" ht="15.75" customHeight="1" x14ac:dyDescent="0.25">
      <c r="A226" s="2"/>
    </row>
    <row r="227" spans="1:1" ht="15.75" customHeight="1" x14ac:dyDescent="0.25">
      <c r="A227" s="2"/>
    </row>
    <row r="228" spans="1:1" ht="15.75" customHeight="1" x14ac:dyDescent="0.25">
      <c r="A228" s="2"/>
    </row>
    <row r="229" spans="1:1" ht="15.75" customHeight="1" x14ac:dyDescent="0.25">
      <c r="A229" s="2"/>
    </row>
    <row r="230" spans="1:1" ht="15.75" customHeight="1" x14ac:dyDescent="0.25">
      <c r="A230" s="2"/>
    </row>
    <row r="231" spans="1:1" ht="15.75" customHeight="1" x14ac:dyDescent="0.25">
      <c r="A231" s="2"/>
    </row>
    <row r="232" spans="1:1" ht="15.75" customHeight="1" x14ac:dyDescent="0.25">
      <c r="A232" s="2"/>
    </row>
    <row r="233" spans="1:1" ht="15.75" customHeight="1" x14ac:dyDescent="0.25">
      <c r="A233" s="2"/>
    </row>
    <row r="234" spans="1:1" ht="15.75" customHeight="1" x14ac:dyDescent="0.25">
      <c r="A234" s="2"/>
    </row>
    <row r="235" spans="1:1" ht="15.75" customHeight="1" x14ac:dyDescent="0.25">
      <c r="A235" s="2"/>
    </row>
    <row r="236" spans="1:1" ht="15.75" customHeight="1" x14ac:dyDescent="0.25">
      <c r="A236" s="2"/>
    </row>
    <row r="237" spans="1:1" ht="15.75" customHeight="1" x14ac:dyDescent="0.25">
      <c r="A237" s="2"/>
    </row>
    <row r="238" spans="1:1" ht="15.75" customHeight="1" x14ac:dyDescent="0.25">
      <c r="A238" s="2"/>
    </row>
    <row r="239" spans="1:1" ht="15.75" customHeight="1" x14ac:dyDescent="0.25">
      <c r="A239" s="2"/>
    </row>
    <row r="240" spans="1:1" ht="15.75" customHeight="1" x14ac:dyDescent="0.25">
      <c r="A240" s="2"/>
    </row>
    <row r="241" spans="1:1" ht="15.75" customHeight="1" x14ac:dyDescent="0.25">
      <c r="A241" s="2"/>
    </row>
    <row r="242" spans="1:1" ht="15.75" customHeight="1" x14ac:dyDescent="0.25">
      <c r="A242" s="2"/>
    </row>
    <row r="243" spans="1:1" ht="15.75" customHeight="1" x14ac:dyDescent="0.25">
      <c r="A243" s="2"/>
    </row>
    <row r="244" spans="1:1" ht="15.75" customHeight="1" x14ac:dyDescent="0.25">
      <c r="A244" s="2"/>
    </row>
    <row r="245" spans="1:1" ht="15.75" customHeight="1" x14ac:dyDescent="0.25">
      <c r="A245" s="2"/>
    </row>
    <row r="246" spans="1:1" ht="15.75" customHeight="1" x14ac:dyDescent="0.25">
      <c r="A246" s="2"/>
    </row>
    <row r="247" spans="1:1" ht="15.75" customHeight="1" x14ac:dyDescent="0.25">
      <c r="A247" s="2"/>
    </row>
    <row r="248" spans="1:1" ht="15.75" customHeight="1" x14ac:dyDescent="0.25">
      <c r="A248" s="2"/>
    </row>
    <row r="249" spans="1:1" ht="15.75" customHeight="1" x14ac:dyDescent="0.25">
      <c r="A249" s="2"/>
    </row>
    <row r="250" spans="1:1" ht="15.75" customHeight="1" x14ac:dyDescent="0.25">
      <c r="A250" s="2"/>
    </row>
    <row r="251" spans="1:1" ht="15.75" customHeight="1" x14ac:dyDescent="0.25">
      <c r="A251" s="2"/>
    </row>
    <row r="252" spans="1:1" ht="15.75" customHeight="1" x14ac:dyDescent="0.25">
      <c r="A252" s="2"/>
    </row>
    <row r="253" spans="1:1" ht="15.75" customHeight="1" x14ac:dyDescent="0.25">
      <c r="A253" s="2"/>
    </row>
    <row r="254" spans="1:1" ht="15.75" customHeight="1" x14ac:dyDescent="0.25">
      <c r="A254" s="2"/>
    </row>
    <row r="255" spans="1:1" ht="15.75" customHeight="1" x14ac:dyDescent="0.25">
      <c r="A255" s="2"/>
    </row>
    <row r="256" spans="1:1" ht="15.75" customHeight="1" x14ac:dyDescent="0.25">
      <c r="A256" s="2"/>
    </row>
    <row r="257" spans="1:1" ht="15.75" customHeight="1" x14ac:dyDescent="0.25">
      <c r="A257" s="2"/>
    </row>
    <row r="258" spans="1:1" ht="15.75" customHeight="1" x14ac:dyDescent="0.25">
      <c r="A258" s="2"/>
    </row>
    <row r="259" spans="1:1" ht="15.75" customHeight="1" x14ac:dyDescent="0.25">
      <c r="A259" s="2"/>
    </row>
    <row r="260" spans="1:1" ht="15.75" customHeight="1" x14ac:dyDescent="0.25">
      <c r="A260" s="2"/>
    </row>
    <row r="261" spans="1:1" ht="15.75" customHeight="1" x14ac:dyDescent="0.25">
      <c r="A261" s="2"/>
    </row>
    <row r="262" spans="1:1" ht="15.75" customHeight="1" x14ac:dyDescent="0.25">
      <c r="A262" s="2"/>
    </row>
    <row r="263" spans="1:1" ht="15.75" customHeight="1" x14ac:dyDescent="0.25">
      <c r="A263" s="2"/>
    </row>
    <row r="264" spans="1:1" ht="15.75" customHeight="1" x14ac:dyDescent="0.25">
      <c r="A264" s="2"/>
    </row>
    <row r="265" spans="1:1" ht="15.75" customHeight="1" x14ac:dyDescent="0.25">
      <c r="A265" s="2"/>
    </row>
    <row r="266" spans="1:1" ht="15.75" customHeight="1" x14ac:dyDescent="0.25">
      <c r="A266" s="2"/>
    </row>
    <row r="267" spans="1:1" ht="15.75" customHeight="1" x14ac:dyDescent="0.25">
      <c r="A267" s="2"/>
    </row>
    <row r="268" spans="1:1" ht="15.75" customHeight="1" x14ac:dyDescent="0.25">
      <c r="A268" s="2"/>
    </row>
    <row r="269" spans="1:1" ht="15.75" customHeight="1" x14ac:dyDescent="0.25">
      <c r="A269" s="2"/>
    </row>
    <row r="270" spans="1:1" ht="15.75" customHeight="1" x14ac:dyDescent="0.25">
      <c r="A270" s="2"/>
    </row>
    <row r="271" spans="1:1" ht="15.75" customHeight="1" x14ac:dyDescent="0.25">
      <c r="A271" s="2"/>
    </row>
    <row r="272" spans="1:1" ht="15.75" customHeight="1" x14ac:dyDescent="0.25">
      <c r="A272" s="2"/>
    </row>
    <row r="273" spans="1:1" ht="15.75" customHeight="1" x14ac:dyDescent="0.25">
      <c r="A273" s="2"/>
    </row>
    <row r="274" spans="1:1" ht="15.75" customHeight="1" x14ac:dyDescent="0.25">
      <c r="A274" s="2"/>
    </row>
    <row r="275" spans="1:1" ht="15.75" customHeight="1" x14ac:dyDescent="0.25">
      <c r="A275" s="2"/>
    </row>
    <row r="276" spans="1:1" ht="15.75" customHeight="1" x14ac:dyDescent="0.25">
      <c r="A276" s="2"/>
    </row>
    <row r="277" spans="1:1" ht="15.75" customHeight="1" x14ac:dyDescent="0.25">
      <c r="A277" s="2"/>
    </row>
    <row r="278" spans="1:1" ht="15.75" customHeight="1" x14ac:dyDescent="0.25">
      <c r="A278" s="2"/>
    </row>
    <row r="279" spans="1:1" ht="15.75" customHeight="1" x14ac:dyDescent="0.25">
      <c r="A279" s="2"/>
    </row>
    <row r="280" spans="1:1" ht="15.75" customHeight="1" x14ac:dyDescent="0.25">
      <c r="A280" s="2"/>
    </row>
    <row r="281" spans="1:1" ht="15.75" customHeight="1" x14ac:dyDescent="0.25">
      <c r="A281" s="2"/>
    </row>
    <row r="282" spans="1:1" ht="15.75" customHeight="1" x14ac:dyDescent="0.25">
      <c r="A282" s="2"/>
    </row>
    <row r="283" spans="1:1" ht="15.75" customHeight="1" x14ac:dyDescent="0.25">
      <c r="A283" s="2"/>
    </row>
    <row r="284" spans="1:1" ht="15.75" customHeight="1" x14ac:dyDescent="0.25">
      <c r="A284" s="2"/>
    </row>
    <row r="285" spans="1:1" ht="15.75" customHeight="1" x14ac:dyDescent="0.25">
      <c r="A285" s="2"/>
    </row>
    <row r="286" spans="1:1" ht="15.75" customHeight="1" x14ac:dyDescent="0.25">
      <c r="A286" s="2"/>
    </row>
    <row r="287" spans="1:1" ht="15.75" customHeight="1" x14ac:dyDescent="0.25">
      <c r="A287" s="2"/>
    </row>
    <row r="288" spans="1:1" ht="15.75" customHeight="1" x14ac:dyDescent="0.25">
      <c r="A288" s="2"/>
    </row>
    <row r="289" spans="1:1" ht="15.75" customHeight="1" x14ac:dyDescent="0.25">
      <c r="A289" s="2"/>
    </row>
    <row r="290" spans="1:1" ht="15.75" customHeight="1" x14ac:dyDescent="0.25">
      <c r="A290" s="2"/>
    </row>
    <row r="291" spans="1:1" ht="15.75" customHeight="1" x14ac:dyDescent="0.25">
      <c r="A291" s="2"/>
    </row>
    <row r="292" spans="1:1" ht="15.75" customHeight="1" x14ac:dyDescent="0.25">
      <c r="A292" s="2"/>
    </row>
    <row r="293" spans="1:1" ht="15.75" customHeight="1" x14ac:dyDescent="0.25">
      <c r="A293" s="2"/>
    </row>
    <row r="294" spans="1:1" ht="15.75" customHeight="1" x14ac:dyDescent="0.25">
      <c r="A294" s="2"/>
    </row>
    <row r="295" spans="1:1" ht="15.75" customHeight="1" x14ac:dyDescent="0.25">
      <c r="A295" s="2"/>
    </row>
    <row r="296" spans="1:1" ht="15.75" customHeight="1" x14ac:dyDescent="0.25">
      <c r="A296" s="2"/>
    </row>
    <row r="297" spans="1:1" ht="15.75" customHeight="1" x14ac:dyDescent="0.25">
      <c r="A297" s="2"/>
    </row>
    <row r="298" spans="1:1" ht="15.75" customHeight="1" x14ac:dyDescent="0.25">
      <c r="A298" s="2"/>
    </row>
    <row r="299" spans="1:1" ht="15.75" customHeight="1" x14ac:dyDescent="0.25">
      <c r="A299" s="2"/>
    </row>
    <row r="300" spans="1:1" ht="15.75" customHeight="1" x14ac:dyDescent="0.25">
      <c r="A300" s="2"/>
    </row>
    <row r="301" spans="1:1" ht="15.75" customHeight="1" x14ac:dyDescent="0.25">
      <c r="A301" s="2"/>
    </row>
    <row r="302" spans="1:1" ht="15.75" customHeight="1" x14ac:dyDescent="0.25">
      <c r="A302" s="2"/>
    </row>
    <row r="303" spans="1:1" ht="15.75" customHeight="1" x14ac:dyDescent="0.25">
      <c r="A303" s="2"/>
    </row>
    <row r="304" spans="1:1" ht="15.75" customHeight="1" x14ac:dyDescent="0.25">
      <c r="A304" s="2"/>
    </row>
    <row r="305" spans="1:1" ht="15.75" customHeight="1" x14ac:dyDescent="0.25">
      <c r="A305" s="2"/>
    </row>
    <row r="306" spans="1:1" ht="15.75" customHeight="1" x14ac:dyDescent="0.25">
      <c r="A306" s="2"/>
    </row>
    <row r="307" spans="1:1" ht="15.75" customHeight="1" x14ac:dyDescent="0.25">
      <c r="A307" s="2"/>
    </row>
    <row r="308" spans="1:1" ht="15.75" customHeight="1" x14ac:dyDescent="0.25">
      <c r="A308" s="2"/>
    </row>
    <row r="309" spans="1:1" ht="15.75" customHeight="1" x14ac:dyDescent="0.25">
      <c r="A309" s="2"/>
    </row>
    <row r="310" spans="1:1" ht="15.75" customHeight="1" x14ac:dyDescent="0.25">
      <c r="A310" s="2"/>
    </row>
    <row r="311" spans="1:1" ht="15.75" customHeight="1" x14ac:dyDescent="0.25">
      <c r="A311" s="2"/>
    </row>
    <row r="312" spans="1:1" ht="15.75" customHeight="1" x14ac:dyDescent="0.25">
      <c r="A312" s="2"/>
    </row>
    <row r="313" spans="1:1" ht="15.75" customHeight="1" x14ac:dyDescent="0.25">
      <c r="A313" s="2"/>
    </row>
    <row r="314" spans="1:1" ht="15.75" customHeight="1" x14ac:dyDescent="0.25">
      <c r="A314" s="2"/>
    </row>
    <row r="315" spans="1:1" ht="15.75" customHeight="1" x14ac:dyDescent="0.25">
      <c r="A315" s="2"/>
    </row>
    <row r="316" spans="1:1" ht="15.75" customHeight="1" x14ac:dyDescent="0.25">
      <c r="A316" s="2"/>
    </row>
    <row r="317" spans="1:1" ht="15.75" customHeight="1" x14ac:dyDescent="0.25">
      <c r="A317" s="2"/>
    </row>
    <row r="318" spans="1:1" ht="15.75" customHeight="1" x14ac:dyDescent="0.25">
      <c r="A318" s="2"/>
    </row>
    <row r="319" spans="1:1" ht="15.75" customHeight="1" x14ac:dyDescent="0.25">
      <c r="A319" s="2"/>
    </row>
    <row r="320" spans="1:1" ht="15.75" customHeight="1" x14ac:dyDescent="0.25">
      <c r="A320" s="2"/>
    </row>
    <row r="321" spans="1:1" ht="15.75" customHeight="1" x14ac:dyDescent="0.25">
      <c r="A321" s="2"/>
    </row>
    <row r="322" spans="1:1" ht="15.75" customHeight="1" x14ac:dyDescent="0.25">
      <c r="A322" s="2"/>
    </row>
    <row r="323" spans="1:1" ht="15.75" customHeight="1" x14ac:dyDescent="0.25">
      <c r="A323" s="2"/>
    </row>
    <row r="324" spans="1:1" ht="15.75" customHeight="1" x14ac:dyDescent="0.25">
      <c r="A324" s="2"/>
    </row>
    <row r="325" spans="1:1" ht="15.75" customHeight="1" x14ac:dyDescent="0.25">
      <c r="A325" s="2"/>
    </row>
    <row r="326" spans="1:1" ht="15.75" customHeight="1" x14ac:dyDescent="0.25">
      <c r="A326" s="2"/>
    </row>
    <row r="327" spans="1:1" ht="15.75" customHeight="1" x14ac:dyDescent="0.25">
      <c r="A327" s="2"/>
    </row>
    <row r="328" spans="1:1" ht="15.75" customHeight="1" x14ac:dyDescent="0.25">
      <c r="A328" s="2"/>
    </row>
    <row r="329" spans="1:1" ht="15.75" customHeight="1" x14ac:dyDescent="0.25">
      <c r="A329" s="2"/>
    </row>
    <row r="330" spans="1:1" ht="15.75" customHeight="1" x14ac:dyDescent="0.25">
      <c r="A330" s="2"/>
    </row>
    <row r="331" spans="1:1" ht="15.75" customHeight="1" x14ac:dyDescent="0.25">
      <c r="A331" s="2"/>
    </row>
    <row r="332" spans="1:1" ht="15.75" customHeight="1" x14ac:dyDescent="0.25">
      <c r="A332" s="2"/>
    </row>
    <row r="333" spans="1:1" ht="15.75" customHeight="1" x14ac:dyDescent="0.25">
      <c r="A333" s="2"/>
    </row>
    <row r="334" spans="1:1" ht="15.75" customHeight="1" x14ac:dyDescent="0.25">
      <c r="A334" s="2"/>
    </row>
    <row r="335" spans="1:1" ht="15.75" customHeight="1" x14ac:dyDescent="0.25">
      <c r="A335" s="2"/>
    </row>
    <row r="336" spans="1:1" ht="15.75" customHeight="1" x14ac:dyDescent="0.25">
      <c r="A336" s="2"/>
    </row>
    <row r="337" spans="1:1" ht="15.75" customHeight="1" x14ac:dyDescent="0.25">
      <c r="A337" s="2"/>
    </row>
    <row r="338" spans="1:1" ht="15.75" customHeight="1" x14ac:dyDescent="0.25">
      <c r="A338" s="2"/>
    </row>
    <row r="339" spans="1:1" ht="15.75" customHeight="1" x14ac:dyDescent="0.25">
      <c r="A339" s="2"/>
    </row>
    <row r="340" spans="1:1" ht="15.75" customHeight="1" x14ac:dyDescent="0.25">
      <c r="A340" s="2"/>
    </row>
    <row r="341" spans="1:1" ht="15.75" customHeight="1" x14ac:dyDescent="0.25">
      <c r="A341" s="2"/>
    </row>
    <row r="342" spans="1:1" ht="15.75" customHeight="1" x14ac:dyDescent="0.25">
      <c r="A342" s="2"/>
    </row>
    <row r="343" spans="1:1" ht="15.75" customHeight="1" x14ac:dyDescent="0.25">
      <c r="A343" s="2"/>
    </row>
    <row r="344" spans="1:1" ht="15.75" customHeight="1" x14ac:dyDescent="0.25">
      <c r="A344" s="2"/>
    </row>
    <row r="345" spans="1:1" ht="15.75" customHeight="1" x14ac:dyDescent="0.25">
      <c r="A345" s="2"/>
    </row>
    <row r="346" spans="1:1" ht="15.75" customHeight="1" x14ac:dyDescent="0.25">
      <c r="A346" s="2"/>
    </row>
    <row r="347" spans="1:1" ht="15.75" customHeight="1" x14ac:dyDescent="0.25">
      <c r="A347" s="2"/>
    </row>
    <row r="348" spans="1:1" ht="15.75" customHeight="1" x14ac:dyDescent="0.25">
      <c r="A348" s="2"/>
    </row>
    <row r="349" spans="1:1" ht="15.75" customHeight="1" x14ac:dyDescent="0.25">
      <c r="A349" s="2"/>
    </row>
    <row r="350" spans="1:1" ht="15.75" customHeight="1" x14ac:dyDescent="0.25">
      <c r="A350" s="2"/>
    </row>
    <row r="351" spans="1:1" ht="15.75" customHeight="1" x14ac:dyDescent="0.25">
      <c r="A351" s="2"/>
    </row>
    <row r="352" spans="1:1" ht="15.75" customHeight="1" x14ac:dyDescent="0.25">
      <c r="A352" s="2"/>
    </row>
    <row r="353" spans="1:1" ht="15.75" customHeight="1" x14ac:dyDescent="0.25">
      <c r="A353" s="2"/>
    </row>
    <row r="354" spans="1:1" ht="15.75" customHeight="1" x14ac:dyDescent="0.25">
      <c r="A354" s="2"/>
    </row>
    <row r="355" spans="1:1" ht="15.75" customHeight="1" x14ac:dyDescent="0.25">
      <c r="A355" s="2"/>
    </row>
    <row r="356" spans="1:1" ht="15.75" customHeight="1" x14ac:dyDescent="0.25">
      <c r="A356" s="2"/>
    </row>
    <row r="357" spans="1:1" ht="15.75" customHeight="1" x14ac:dyDescent="0.25">
      <c r="A357" s="2"/>
    </row>
    <row r="358" spans="1:1" ht="15.75" customHeight="1" x14ac:dyDescent="0.25">
      <c r="A358" s="2"/>
    </row>
    <row r="359" spans="1:1" ht="15.75" customHeight="1" x14ac:dyDescent="0.25">
      <c r="A359" s="2"/>
    </row>
    <row r="360" spans="1:1" ht="15.75" customHeight="1" x14ac:dyDescent="0.25">
      <c r="A360" s="2"/>
    </row>
    <row r="361" spans="1:1" ht="15.75" customHeight="1" x14ac:dyDescent="0.25">
      <c r="A361" s="2"/>
    </row>
    <row r="362" spans="1:1" ht="15.75" customHeight="1" x14ac:dyDescent="0.25">
      <c r="A362" s="2"/>
    </row>
    <row r="363" spans="1:1" ht="15.75" customHeight="1" x14ac:dyDescent="0.25">
      <c r="A363" s="2"/>
    </row>
    <row r="364" spans="1:1" ht="15.75" customHeight="1" x14ac:dyDescent="0.25">
      <c r="A364" s="2"/>
    </row>
    <row r="365" spans="1:1" ht="15.75" customHeight="1" x14ac:dyDescent="0.25">
      <c r="A365" s="2"/>
    </row>
    <row r="366" spans="1:1" ht="15.75" customHeight="1" x14ac:dyDescent="0.25">
      <c r="A366" s="2"/>
    </row>
    <row r="367" spans="1:1" ht="15.75" customHeight="1" x14ac:dyDescent="0.25">
      <c r="A367" s="2"/>
    </row>
    <row r="368" spans="1:1" ht="15.75" customHeight="1" x14ac:dyDescent="0.25">
      <c r="A368" s="2"/>
    </row>
    <row r="369" spans="1:1" ht="15.75" customHeight="1" x14ac:dyDescent="0.25">
      <c r="A369" s="2"/>
    </row>
    <row r="370" spans="1:1" ht="15.75" customHeight="1" x14ac:dyDescent="0.25">
      <c r="A370" s="2"/>
    </row>
    <row r="371" spans="1:1" ht="15.75" customHeight="1" x14ac:dyDescent="0.25">
      <c r="A371" s="2"/>
    </row>
    <row r="372" spans="1:1" ht="15.75" customHeight="1" x14ac:dyDescent="0.25">
      <c r="A372" s="2"/>
    </row>
    <row r="373" spans="1:1" ht="15.75" customHeight="1" x14ac:dyDescent="0.25">
      <c r="A373" s="2"/>
    </row>
    <row r="374" spans="1:1" ht="15.75" customHeight="1" x14ac:dyDescent="0.25">
      <c r="A374" s="2"/>
    </row>
    <row r="375" spans="1:1" ht="15.75" customHeight="1" x14ac:dyDescent="0.25">
      <c r="A375" s="2"/>
    </row>
    <row r="376" spans="1:1" ht="15.75" customHeight="1" x14ac:dyDescent="0.25">
      <c r="A376" s="2"/>
    </row>
    <row r="377" spans="1:1" ht="15.75" customHeight="1" x14ac:dyDescent="0.25">
      <c r="A377" s="2"/>
    </row>
    <row r="378" spans="1:1" ht="15.75" customHeight="1" x14ac:dyDescent="0.25">
      <c r="A378" s="2"/>
    </row>
    <row r="379" spans="1:1" ht="15.75" customHeight="1" x14ac:dyDescent="0.25">
      <c r="A379" s="2"/>
    </row>
    <row r="380" spans="1:1" ht="15.75" customHeight="1" x14ac:dyDescent="0.25">
      <c r="A380" s="2"/>
    </row>
    <row r="381" spans="1:1" ht="15.75" customHeight="1" x14ac:dyDescent="0.25">
      <c r="A381" s="2"/>
    </row>
    <row r="382" spans="1:1" ht="15.75" customHeight="1" x14ac:dyDescent="0.25">
      <c r="A382" s="2"/>
    </row>
    <row r="383" spans="1:1" ht="15.75" customHeight="1" x14ac:dyDescent="0.25">
      <c r="A383" s="2"/>
    </row>
    <row r="384" spans="1:1" ht="15.75" customHeight="1" x14ac:dyDescent="0.25">
      <c r="A384" s="2"/>
    </row>
    <row r="385" spans="1:1" ht="15.75" customHeight="1" x14ac:dyDescent="0.25">
      <c r="A385" s="2"/>
    </row>
    <row r="386" spans="1:1" ht="15.75" customHeight="1" x14ac:dyDescent="0.25">
      <c r="A386" s="2"/>
    </row>
    <row r="387" spans="1:1" ht="15.75" customHeight="1" x14ac:dyDescent="0.25">
      <c r="A387" s="2"/>
    </row>
    <row r="388" spans="1:1" ht="15.75" customHeight="1" x14ac:dyDescent="0.25">
      <c r="A388" s="2"/>
    </row>
    <row r="389" spans="1:1" ht="15.75" customHeight="1" x14ac:dyDescent="0.25">
      <c r="A389" s="2"/>
    </row>
    <row r="390" spans="1:1" ht="15.75" customHeight="1" x14ac:dyDescent="0.25">
      <c r="A390" s="2"/>
    </row>
    <row r="391" spans="1:1" ht="15.75" customHeight="1" x14ac:dyDescent="0.25">
      <c r="A391" s="2"/>
    </row>
    <row r="392" spans="1:1" ht="15.75" customHeight="1" x14ac:dyDescent="0.25">
      <c r="A392" s="2"/>
    </row>
    <row r="393" spans="1:1" ht="15.75" customHeight="1" x14ac:dyDescent="0.25">
      <c r="A393" s="2"/>
    </row>
    <row r="394" spans="1:1" ht="15.75" customHeight="1" x14ac:dyDescent="0.25">
      <c r="A394" s="2"/>
    </row>
    <row r="395" spans="1:1" ht="15.75" customHeight="1" x14ac:dyDescent="0.25">
      <c r="A395" s="2"/>
    </row>
    <row r="396" spans="1:1" ht="15.75" customHeight="1" x14ac:dyDescent="0.25">
      <c r="A396" s="2"/>
    </row>
    <row r="397" spans="1:1" ht="15.75" customHeight="1" x14ac:dyDescent="0.25">
      <c r="A397" s="2"/>
    </row>
    <row r="398" spans="1:1" ht="15.75" customHeight="1" x14ac:dyDescent="0.25">
      <c r="A398" s="2"/>
    </row>
    <row r="399" spans="1:1" ht="15.75" customHeight="1" x14ac:dyDescent="0.25">
      <c r="A399" s="2"/>
    </row>
    <row r="400" spans="1:1" ht="15.75" customHeight="1" x14ac:dyDescent="0.25">
      <c r="A400" s="2"/>
    </row>
    <row r="401" spans="1:1" ht="15.75" customHeight="1" x14ac:dyDescent="0.25">
      <c r="A401" s="2"/>
    </row>
    <row r="402" spans="1:1" ht="15.75" customHeight="1" x14ac:dyDescent="0.25">
      <c r="A402" s="2"/>
    </row>
    <row r="403" spans="1:1" ht="15.75" customHeight="1" x14ac:dyDescent="0.25">
      <c r="A403" s="2"/>
    </row>
    <row r="404" spans="1:1" ht="15.75" customHeight="1" x14ac:dyDescent="0.25">
      <c r="A404" s="2"/>
    </row>
    <row r="405" spans="1:1" ht="15.75" customHeight="1" x14ac:dyDescent="0.25">
      <c r="A405" s="2"/>
    </row>
    <row r="406" spans="1:1" ht="15.75" customHeight="1" x14ac:dyDescent="0.25">
      <c r="A406" s="2"/>
    </row>
    <row r="407" spans="1:1" ht="15.75" customHeight="1" x14ac:dyDescent="0.25">
      <c r="A407" s="2"/>
    </row>
    <row r="408" spans="1:1" ht="15.75" customHeight="1" x14ac:dyDescent="0.25">
      <c r="A408" s="2"/>
    </row>
    <row r="409" spans="1:1" ht="15.75" customHeight="1" x14ac:dyDescent="0.25">
      <c r="A409" s="2"/>
    </row>
    <row r="410" spans="1:1" ht="15.75" customHeight="1" x14ac:dyDescent="0.25">
      <c r="A410" s="2"/>
    </row>
    <row r="411" spans="1:1" ht="15.75" customHeight="1" x14ac:dyDescent="0.25">
      <c r="A411" s="2"/>
    </row>
    <row r="412" spans="1:1" ht="15.75" customHeight="1" x14ac:dyDescent="0.25">
      <c r="A412" s="2"/>
    </row>
    <row r="413" spans="1:1" ht="15.75" customHeight="1" x14ac:dyDescent="0.25">
      <c r="A413" s="2"/>
    </row>
    <row r="414" spans="1:1" ht="15.75" customHeight="1" x14ac:dyDescent="0.25">
      <c r="A414" s="2"/>
    </row>
    <row r="415" spans="1:1" ht="15.75" customHeight="1" x14ac:dyDescent="0.25">
      <c r="A415" s="2"/>
    </row>
    <row r="416" spans="1:1" ht="15.75" customHeight="1" x14ac:dyDescent="0.25">
      <c r="A416" s="2"/>
    </row>
    <row r="417" spans="1:1" ht="15.75" customHeight="1" x14ac:dyDescent="0.25">
      <c r="A417" s="2"/>
    </row>
    <row r="418" spans="1:1" ht="15.75" customHeight="1" x14ac:dyDescent="0.25">
      <c r="A418" s="2"/>
    </row>
    <row r="419" spans="1:1" ht="15.75" customHeight="1" x14ac:dyDescent="0.25">
      <c r="A419" s="2"/>
    </row>
    <row r="420" spans="1:1" ht="15.75" customHeight="1" x14ac:dyDescent="0.25">
      <c r="A420" s="2"/>
    </row>
    <row r="421" spans="1:1" ht="15.75" customHeight="1" x14ac:dyDescent="0.25">
      <c r="A421" s="2"/>
    </row>
    <row r="422" spans="1:1" ht="15.75" customHeight="1" x14ac:dyDescent="0.25">
      <c r="A422" s="2"/>
    </row>
    <row r="423" spans="1:1" ht="15.75" customHeight="1" x14ac:dyDescent="0.25">
      <c r="A423" s="2"/>
    </row>
    <row r="424" spans="1:1" ht="15.75" customHeight="1" x14ac:dyDescent="0.25">
      <c r="A424" s="2"/>
    </row>
    <row r="425" spans="1:1" ht="15.75" customHeight="1" x14ac:dyDescent="0.25">
      <c r="A425" s="2"/>
    </row>
    <row r="426" spans="1:1" ht="15.75" customHeight="1" x14ac:dyDescent="0.25">
      <c r="A426" s="2"/>
    </row>
    <row r="427" spans="1:1" ht="15.75" customHeight="1" x14ac:dyDescent="0.25">
      <c r="A427" s="2"/>
    </row>
    <row r="428" spans="1:1" ht="15.75" customHeight="1" x14ac:dyDescent="0.25">
      <c r="A428" s="2"/>
    </row>
    <row r="429" spans="1:1" ht="15.75" customHeight="1" x14ac:dyDescent="0.25">
      <c r="A429" s="2"/>
    </row>
    <row r="430" spans="1:1" ht="15.75" customHeight="1" x14ac:dyDescent="0.25">
      <c r="A430" s="2"/>
    </row>
    <row r="431" spans="1:1" ht="15.75" customHeight="1" x14ac:dyDescent="0.25">
      <c r="A431" s="2"/>
    </row>
    <row r="432" spans="1:1" ht="15.75" customHeight="1" x14ac:dyDescent="0.25">
      <c r="A432" s="2"/>
    </row>
    <row r="433" spans="1:1" ht="15.75" customHeight="1" x14ac:dyDescent="0.25">
      <c r="A433" s="2"/>
    </row>
    <row r="434" spans="1:1" ht="15.75" customHeight="1" x14ac:dyDescent="0.25">
      <c r="A434" s="2"/>
    </row>
    <row r="435" spans="1:1" ht="15.75" customHeight="1" x14ac:dyDescent="0.25">
      <c r="A435" s="2"/>
    </row>
    <row r="436" spans="1:1" ht="15.75" customHeight="1" x14ac:dyDescent="0.25">
      <c r="A436" s="2"/>
    </row>
    <row r="437" spans="1:1" ht="15.75" customHeight="1" x14ac:dyDescent="0.25">
      <c r="A437" s="2"/>
    </row>
    <row r="438" spans="1:1" ht="15.75" customHeight="1" x14ac:dyDescent="0.25">
      <c r="A438" s="2"/>
    </row>
    <row r="439" spans="1:1" ht="15.75" customHeight="1" x14ac:dyDescent="0.25">
      <c r="A439" s="2"/>
    </row>
    <row r="440" spans="1:1" ht="15.75" customHeight="1" x14ac:dyDescent="0.25">
      <c r="A440" s="2"/>
    </row>
    <row r="441" spans="1:1" ht="15.75" customHeight="1" x14ac:dyDescent="0.25">
      <c r="A441" s="2"/>
    </row>
    <row r="442" spans="1:1" ht="15.75" customHeight="1" x14ac:dyDescent="0.25">
      <c r="A442" s="2"/>
    </row>
    <row r="443" spans="1:1" ht="15.75" customHeight="1" x14ac:dyDescent="0.25">
      <c r="A443" s="2"/>
    </row>
    <row r="444" spans="1:1" ht="15.75" customHeight="1" x14ac:dyDescent="0.25">
      <c r="A444" s="2"/>
    </row>
    <row r="445" spans="1:1" ht="15.75" customHeight="1" x14ac:dyDescent="0.25">
      <c r="A445" s="2"/>
    </row>
    <row r="446" spans="1:1" ht="15.75" customHeight="1" x14ac:dyDescent="0.25">
      <c r="A446" s="2"/>
    </row>
    <row r="447" spans="1:1" ht="15.75" customHeight="1" x14ac:dyDescent="0.25">
      <c r="A447" s="2"/>
    </row>
    <row r="448" spans="1:1" ht="15.75" customHeight="1" x14ac:dyDescent="0.25">
      <c r="A448" s="2"/>
    </row>
    <row r="449" spans="1:1" ht="15.75" customHeight="1" x14ac:dyDescent="0.25">
      <c r="A449" s="2"/>
    </row>
    <row r="450" spans="1:1" ht="15.75" customHeight="1" x14ac:dyDescent="0.25">
      <c r="A450" s="2"/>
    </row>
    <row r="451" spans="1:1" ht="15.75" customHeight="1" x14ac:dyDescent="0.25">
      <c r="A451" s="2"/>
    </row>
    <row r="452" spans="1:1" ht="15.75" customHeight="1" x14ac:dyDescent="0.25">
      <c r="A452" s="2"/>
    </row>
    <row r="453" spans="1:1" ht="15.75" customHeight="1" x14ac:dyDescent="0.25">
      <c r="A453" s="2"/>
    </row>
    <row r="454" spans="1:1" ht="15.75" customHeight="1" x14ac:dyDescent="0.25">
      <c r="A454" s="2"/>
    </row>
    <row r="455" spans="1:1" ht="15.75" customHeight="1" x14ac:dyDescent="0.25">
      <c r="A455" s="2"/>
    </row>
    <row r="456" spans="1:1" ht="15.75" customHeight="1" x14ac:dyDescent="0.25">
      <c r="A456" s="2"/>
    </row>
    <row r="457" spans="1:1" ht="15.75" customHeight="1" x14ac:dyDescent="0.25">
      <c r="A457" s="2"/>
    </row>
    <row r="458" spans="1:1" ht="15.75" customHeight="1" x14ac:dyDescent="0.25">
      <c r="A458" s="2"/>
    </row>
    <row r="459" spans="1:1" ht="15.75" customHeight="1" x14ac:dyDescent="0.25">
      <c r="A459" s="2"/>
    </row>
    <row r="460" spans="1:1" ht="15.75" customHeight="1" x14ac:dyDescent="0.25">
      <c r="A460" s="2"/>
    </row>
    <row r="461" spans="1:1" ht="15.75" customHeight="1" x14ac:dyDescent="0.25">
      <c r="A461" s="2"/>
    </row>
    <row r="462" spans="1:1" ht="15.75" customHeight="1" x14ac:dyDescent="0.25">
      <c r="A462" s="2"/>
    </row>
    <row r="463" spans="1:1" ht="15.75" customHeight="1" x14ac:dyDescent="0.25">
      <c r="A463" s="2"/>
    </row>
    <row r="464" spans="1:1" ht="15.75" customHeight="1" x14ac:dyDescent="0.25">
      <c r="A464" s="2"/>
    </row>
    <row r="465" spans="1:1" ht="15.75" customHeight="1" x14ac:dyDescent="0.25">
      <c r="A465" s="2"/>
    </row>
    <row r="466" spans="1:1" ht="15.75" customHeight="1" x14ac:dyDescent="0.25">
      <c r="A466" s="2"/>
    </row>
    <row r="467" spans="1:1" ht="15.75" customHeight="1" x14ac:dyDescent="0.25">
      <c r="A467" s="2"/>
    </row>
    <row r="468" spans="1:1" ht="15.75" customHeight="1" x14ac:dyDescent="0.25">
      <c r="A468" s="2"/>
    </row>
    <row r="469" spans="1:1" ht="15.75" customHeight="1" x14ac:dyDescent="0.25">
      <c r="A469" s="2"/>
    </row>
    <row r="470" spans="1:1" ht="15.75" customHeight="1" x14ac:dyDescent="0.25">
      <c r="A470" s="2"/>
    </row>
    <row r="471" spans="1:1" ht="15.75" customHeight="1" x14ac:dyDescent="0.25">
      <c r="A471" s="2"/>
    </row>
    <row r="472" spans="1:1" ht="15.75" customHeight="1" x14ac:dyDescent="0.25">
      <c r="A472" s="2"/>
    </row>
    <row r="473" spans="1:1" ht="15.75" customHeight="1" x14ac:dyDescent="0.25">
      <c r="A473" s="2"/>
    </row>
    <row r="474" spans="1:1" ht="15.75" customHeight="1" x14ac:dyDescent="0.25">
      <c r="A474" s="2"/>
    </row>
    <row r="475" spans="1:1" ht="15.75" customHeight="1" x14ac:dyDescent="0.25">
      <c r="A475" s="2"/>
    </row>
    <row r="476" spans="1:1" ht="15.75" customHeight="1" x14ac:dyDescent="0.25">
      <c r="A476" s="2"/>
    </row>
    <row r="477" spans="1:1" ht="15.75" customHeight="1" x14ac:dyDescent="0.25">
      <c r="A477" s="2"/>
    </row>
    <row r="478" spans="1:1" ht="15.75" customHeight="1" x14ac:dyDescent="0.25">
      <c r="A478" s="2"/>
    </row>
    <row r="479" spans="1:1" ht="15.75" customHeight="1" x14ac:dyDescent="0.25">
      <c r="A479" s="2"/>
    </row>
    <row r="480" spans="1:1" ht="15.75" customHeight="1" x14ac:dyDescent="0.25">
      <c r="A480" s="2"/>
    </row>
    <row r="481" spans="1:1" ht="15.75" customHeight="1" x14ac:dyDescent="0.25">
      <c r="A481" s="2"/>
    </row>
    <row r="482" spans="1:1" ht="15.75" customHeight="1" x14ac:dyDescent="0.25">
      <c r="A482" s="2"/>
    </row>
    <row r="483" spans="1:1" ht="15.75" customHeight="1" x14ac:dyDescent="0.25">
      <c r="A483" s="2"/>
    </row>
    <row r="484" spans="1:1" ht="15.75" customHeight="1" x14ac:dyDescent="0.25">
      <c r="A484" s="2"/>
    </row>
    <row r="485" spans="1:1" ht="15.75" customHeight="1" x14ac:dyDescent="0.25">
      <c r="A485" s="2"/>
    </row>
    <row r="486" spans="1:1" ht="15.75" customHeight="1" x14ac:dyDescent="0.25">
      <c r="A486" s="2"/>
    </row>
    <row r="487" spans="1:1" ht="15.75" customHeight="1" x14ac:dyDescent="0.25">
      <c r="A487" s="2"/>
    </row>
    <row r="488" spans="1:1" ht="15.75" customHeight="1" x14ac:dyDescent="0.25">
      <c r="A488" s="2"/>
    </row>
    <row r="489" spans="1:1" ht="15.75" customHeight="1" x14ac:dyDescent="0.25">
      <c r="A489" s="2"/>
    </row>
    <row r="490" spans="1:1" ht="15.75" customHeight="1" x14ac:dyDescent="0.25">
      <c r="A490" s="2"/>
    </row>
    <row r="491" spans="1:1" ht="15.75" customHeight="1" x14ac:dyDescent="0.25">
      <c r="A491" s="2"/>
    </row>
    <row r="492" spans="1:1" ht="15.75" customHeight="1" x14ac:dyDescent="0.25">
      <c r="A492" s="2"/>
    </row>
    <row r="493" spans="1:1" ht="15.75" customHeight="1" x14ac:dyDescent="0.25">
      <c r="A493" s="2"/>
    </row>
    <row r="494" spans="1:1" ht="15.75" customHeight="1" x14ac:dyDescent="0.25">
      <c r="A494" s="2"/>
    </row>
    <row r="495" spans="1:1" ht="15.75" customHeight="1" x14ac:dyDescent="0.25">
      <c r="A495" s="2"/>
    </row>
    <row r="496" spans="1:1" ht="15.75" customHeight="1" x14ac:dyDescent="0.25">
      <c r="A496" s="2"/>
    </row>
    <row r="497" spans="1:1" ht="15.75" customHeight="1" x14ac:dyDescent="0.25">
      <c r="A497" s="2"/>
    </row>
    <row r="498" spans="1:1" ht="15.75" customHeight="1" x14ac:dyDescent="0.25">
      <c r="A498" s="2"/>
    </row>
    <row r="499" spans="1:1" ht="15.75" customHeight="1" x14ac:dyDescent="0.25">
      <c r="A499" s="2"/>
    </row>
    <row r="500" spans="1:1" ht="15.75" customHeight="1" x14ac:dyDescent="0.25">
      <c r="A500" s="2"/>
    </row>
    <row r="501" spans="1:1" ht="15.75" customHeight="1" x14ac:dyDescent="0.25">
      <c r="A501" s="2"/>
    </row>
    <row r="502" spans="1:1" ht="15.75" customHeight="1" x14ac:dyDescent="0.25">
      <c r="A502" s="2"/>
    </row>
    <row r="503" spans="1:1" ht="15.75" customHeight="1" x14ac:dyDescent="0.25">
      <c r="A503" s="2"/>
    </row>
    <row r="504" spans="1:1" ht="15.75" customHeight="1" x14ac:dyDescent="0.25">
      <c r="A504" s="2"/>
    </row>
    <row r="505" spans="1:1" ht="15.75" customHeight="1" x14ac:dyDescent="0.25">
      <c r="A505" s="2"/>
    </row>
    <row r="506" spans="1:1" ht="15.75" customHeight="1" x14ac:dyDescent="0.25">
      <c r="A506" s="2"/>
    </row>
    <row r="507" spans="1:1" ht="15.75" customHeight="1" x14ac:dyDescent="0.25">
      <c r="A507" s="2"/>
    </row>
    <row r="508" spans="1:1" ht="15.75" customHeight="1" x14ac:dyDescent="0.25">
      <c r="A508" s="2"/>
    </row>
    <row r="509" spans="1:1" ht="15.75" customHeight="1" x14ac:dyDescent="0.25">
      <c r="A509" s="2"/>
    </row>
    <row r="510" spans="1:1" ht="15.75" customHeight="1" x14ac:dyDescent="0.25">
      <c r="A510" s="2"/>
    </row>
    <row r="511" spans="1:1" ht="15.75" customHeight="1" x14ac:dyDescent="0.25">
      <c r="A511" s="2"/>
    </row>
    <row r="512" spans="1:1" ht="15.75" customHeight="1" x14ac:dyDescent="0.25">
      <c r="A512" s="2"/>
    </row>
    <row r="513" spans="1:1" ht="15.75" customHeight="1" x14ac:dyDescent="0.25">
      <c r="A513" s="2"/>
    </row>
    <row r="514" spans="1:1" ht="15.75" customHeight="1" x14ac:dyDescent="0.25">
      <c r="A514" s="2"/>
    </row>
    <row r="515" spans="1:1" ht="15.75" customHeight="1" x14ac:dyDescent="0.25">
      <c r="A515" s="2"/>
    </row>
    <row r="516" spans="1:1" ht="15.75" customHeight="1" x14ac:dyDescent="0.25">
      <c r="A516" s="2"/>
    </row>
    <row r="517" spans="1:1" ht="15.75" customHeight="1" x14ac:dyDescent="0.25">
      <c r="A517" s="2"/>
    </row>
    <row r="518" spans="1:1" ht="15.75" customHeight="1" x14ac:dyDescent="0.25">
      <c r="A518" s="2"/>
    </row>
    <row r="519" spans="1:1" ht="15.75" customHeight="1" x14ac:dyDescent="0.25">
      <c r="A519" s="2"/>
    </row>
    <row r="520" spans="1:1" ht="15.75" customHeight="1" x14ac:dyDescent="0.25">
      <c r="A520" s="2"/>
    </row>
    <row r="521" spans="1:1" ht="15.75" customHeight="1" x14ac:dyDescent="0.25">
      <c r="A521" s="2"/>
    </row>
    <row r="522" spans="1:1" ht="15.75" customHeight="1" x14ac:dyDescent="0.25">
      <c r="A522" s="2"/>
    </row>
    <row r="523" spans="1:1" ht="15.75" customHeight="1" x14ac:dyDescent="0.25">
      <c r="A523" s="2"/>
    </row>
    <row r="524" spans="1:1" ht="15.75" customHeight="1" x14ac:dyDescent="0.25">
      <c r="A524" s="2"/>
    </row>
    <row r="525" spans="1:1" ht="15.75" customHeight="1" x14ac:dyDescent="0.25">
      <c r="A525" s="2"/>
    </row>
    <row r="526" spans="1:1" ht="15.75" customHeight="1" x14ac:dyDescent="0.25">
      <c r="A526" s="2"/>
    </row>
    <row r="527" spans="1:1" ht="15.75" customHeight="1" x14ac:dyDescent="0.25">
      <c r="A527" s="2"/>
    </row>
    <row r="528" spans="1:1" ht="15.75" customHeight="1" x14ac:dyDescent="0.25">
      <c r="A528" s="2"/>
    </row>
    <row r="529" spans="1:1" ht="15.75" customHeight="1" x14ac:dyDescent="0.25">
      <c r="A529" s="2"/>
    </row>
    <row r="530" spans="1:1" ht="15.75" customHeight="1" x14ac:dyDescent="0.25">
      <c r="A530" s="2"/>
    </row>
    <row r="531" spans="1:1" ht="15.75" customHeight="1" x14ac:dyDescent="0.25">
      <c r="A531" s="2"/>
    </row>
    <row r="532" spans="1:1" ht="15.75" customHeight="1" x14ac:dyDescent="0.25">
      <c r="A532" s="2"/>
    </row>
    <row r="533" spans="1:1" ht="15.75" customHeight="1" x14ac:dyDescent="0.25">
      <c r="A533" s="2"/>
    </row>
    <row r="534" spans="1:1" ht="15.75" customHeight="1" x14ac:dyDescent="0.25">
      <c r="A534" s="2"/>
    </row>
    <row r="535" spans="1:1" ht="15.75" customHeight="1" x14ac:dyDescent="0.25">
      <c r="A535" s="2"/>
    </row>
    <row r="536" spans="1:1" ht="15.75" customHeight="1" x14ac:dyDescent="0.25">
      <c r="A536" s="2"/>
    </row>
    <row r="537" spans="1:1" ht="15.75" customHeight="1" x14ac:dyDescent="0.25">
      <c r="A537" s="2"/>
    </row>
    <row r="538" spans="1:1" ht="15.75" customHeight="1" x14ac:dyDescent="0.25">
      <c r="A538" s="2"/>
    </row>
    <row r="539" spans="1:1" ht="15.75" customHeight="1" x14ac:dyDescent="0.25">
      <c r="A539" s="2"/>
    </row>
    <row r="540" spans="1:1" ht="15.75" customHeight="1" x14ac:dyDescent="0.25">
      <c r="A540" s="2"/>
    </row>
    <row r="541" spans="1:1" ht="15.75" customHeight="1" x14ac:dyDescent="0.25">
      <c r="A541" s="2"/>
    </row>
    <row r="542" spans="1:1" ht="15.75" customHeight="1" x14ac:dyDescent="0.25">
      <c r="A542" s="2"/>
    </row>
    <row r="543" spans="1:1" ht="15.75" customHeight="1" x14ac:dyDescent="0.25">
      <c r="A543" s="2"/>
    </row>
    <row r="544" spans="1:1" ht="15.75" customHeight="1" x14ac:dyDescent="0.25">
      <c r="A544" s="2"/>
    </row>
    <row r="545" spans="1:1" ht="15.75" customHeight="1" x14ac:dyDescent="0.25">
      <c r="A545" s="2"/>
    </row>
    <row r="546" spans="1:1" ht="15.75" customHeight="1" x14ac:dyDescent="0.25">
      <c r="A546" s="2"/>
    </row>
    <row r="547" spans="1:1" ht="15.75" customHeight="1" x14ac:dyDescent="0.25">
      <c r="A547" s="2"/>
    </row>
    <row r="548" spans="1:1" ht="15.75" customHeight="1" x14ac:dyDescent="0.25">
      <c r="A548" s="2"/>
    </row>
    <row r="549" spans="1:1" ht="15.75" customHeight="1" x14ac:dyDescent="0.25">
      <c r="A549" s="2"/>
    </row>
    <row r="550" spans="1:1" ht="15.75" customHeight="1" x14ac:dyDescent="0.25">
      <c r="A550" s="2"/>
    </row>
    <row r="551" spans="1:1" ht="15.75" customHeight="1" x14ac:dyDescent="0.25">
      <c r="A551" s="2"/>
    </row>
    <row r="552" spans="1:1" ht="15.75" customHeight="1" x14ac:dyDescent="0.25">
      <c r="A552" s="2"/>
    </row>
    <row r="553" spans="1:1" ht="15.75" customHeight="1" x14ac:dyDescent="0.25">
      <c r="A553" s="2"/>
    </row>
    <row r="554" spans="1:1" ht="15.75" customHeight="1" x14ac:dyDescent="0.25">
      <c r="A554" s="2"/>
    </row>
    <row r="555" spans="1:1" ht="15.75" customHeight="1" x14ac:dyDescent="0.25">
      <c r="A555" s="2"/>
    </row>
    <row r="556" spans="1:1" ht="15.75" customHeight="1" x14ac:dyDescent="0.25">
      <c r="A556" s="2"/>
    </row>
    <row r="557" spans="1:1" ht="15.75" customHeight="1" x14ac:dyDescent="0.25">
      <c r="A557" s="2"/>
    </row>
    <row r="558" spans="1:1" ht="15.75" customHeight="1" x14ac:dyDescent="0.25">
      <c r="A558" s="2"/>
    </row>
    <row r="559" spans="1:1" ht="15.75" customHeight="1" x14ac:dyDescent="0.25">
      <c r="A559" s="2"/>
    </row>
    <row r="560" spans="1:1" ht="15.75" customHeight="1" x14ac:dyDescent="0.25">
      <c r="A560" s="2"/>
    </row>
    <row r="561" spans="1:1" ht="15.75" customHeight="1" x14ac:dyDescent="0.25">
      <c r="A561" s="2"/>
    </row>
    <row r="562" spans="1:1" ht="15.75" customHeight="1" x14ac:dyDescent="0.25">
      <c r="A562" s="2"/>
    </row>
    <row r="563" spans="1:1" ht="15.75" customHeight="1" x14ac:dyDescent="0.25">
      <c r="A563" s="2"/>
    </row>
    <row r="564" spans="1:1" ht="15.75" customHeight="1" x14ac:dyDescent="0.25">
      <c r="A564" s="2"/>
    </row>
    <row r="565" spans="1:1" ht="15.75" customHeight="1" x14ac:dyDescent="0.25">
      <c r="A565" s="2"/>
    </row>
    <row r="566" spans="1:1" ht="15.75" customHeight="1" x14ac:dyDescent="0.25">
      <c r="A566" s="2"/>
    </row>
    <row r="567" spans="1:1" ht="15.75" customHeight="1" x14ac:dyDescent="0.25">
      <c r="A567" s="2"/>
    </row>
    <row r="568" spans="1:1" ht="15.75" customHeight="1" x14ac:dyDescent="0.25">
      <c r="A568" s="2"/>
    </row>
    <row r="569" spans="1:1" ht="15.75" customHeight="1" x14ac:dyDescent="0.25">
      <c r="A569" s="2"/>
    </row>
    <row r="570" spans="1:1" ht="15.75" customHeight="1" x14ac:dyDescent="0.25">
      <c r="A570" s="2"/>
    </row>
    <row r="571" spans="1:1" ht="15.75" customHeight="1" x14ac:dyDescent="0.25">
      <c r="A571" s="2"/>
    </row>
    <row r="572" spans="1:1" ht="15.75" customHeight="1" x14ac:dyDescent="0.25">
      <c r="A572" s="2"/>
    </row>
    <row r="573" spans="1:1" ht="15.75" customHeight="1" x14ac:dyDescent="0.25">
      <c r="A573" s="2"/>
    </row>
    <row r="574" spans="1:1" ht="15.75" customHeight="1" x14ac:dyDescent="0.25">
      <c r="A574" s="2"/>
    </row>
    <row r="575" spans="1:1" ht="15.75" customHeight="1" x14ac:dyDescent="0.25">
      <c r="A575" s="2"/>
    </row>
    <row r="576" spans="1:1" ht="15.75" customHeight="1" x14ac:dyDescent="0.25">
      <c r="A576" s="2"/>
    </row>
    <row r="577" spans="1:1" ht="15.75" customHeight="1" x14ac:dyDescent="0.25">
      <c r="A577" s="2"/>
    </row>
    <row r="578" spans="1:1" ht="15.75" customHeight="1" x14ac:dyDescent="0.25">
      <c r="A578" s="2"/>
    </row>
    <row r="579" spans="1:1" ht="15.75" customHeight="1" x14ac:dyDescent="0.25">
      <c r="A579" s="2"/>
    </row>
    <row r="580" spans="1:1" ht="15.75" customHeight="1" x14ac:dyDescent="0.25">
      <c r="A580" s="2"/>
    </row>
    <row r="581" spans="1:1" ht="15.75" customHeight="1" x14ac:dyDescent="0.25">
      <c r="A581" s="2"/>
    </row>
    <row r="582" spans="1:1" ht="15.75" customHeight="1" x14ac:dyDescent="0.25">
      <c r="A582" s="2"/>
    </row>
    <row r="583" spans="1:1" ht="15.75" customHeight="1" x14ac:dyDescent="0.25">
      <c r="A583" s="2"/>
    </row>
    <row r="584" spans="1:1" ht="15.75" customHeight="1" x14ac:dyDescent="0.25">
      <c r="A584" s="2"/>
    </row>
    <row r="585" spans="1:1" ht="15.75" customHeight="1" x14ac:dyDescent="0.25">
      <c r="A585" s="2"/>
    </row>
    <row r="586" spans="1:1" ht="15.75" customHeight="1" x14ac:dyDescent="0.25">
      <c r="A586" s="2"/>
    </row>
    <row r="587" spans="1:1" ht="15.75" customHeight="1" x14ac:dyDescent="0.25">
      <c r="A587" s="2"/>
    </row>
    <row r="588" spans="1:1" ht="15.75" customHeight="1" x14ac:dyDescent="0.25">
      <c r="A588" s="2"/>
    </row>
    <row r="589" spans="1:1" ht="15.75" customHeight="1" x14ac:dyDescent="0.25">
      <c r="A589" s="2"/>
    </row>
    <row r="590" spans="1:1" ht="15.75" customHeight="1" x14ac:dyDescent="0.25">
      <c r="A590" s="2"/>
    </row>
    <row r="591" spans="1:1" ht="15.75" customHeight="1" x14ac:dyDescent="0.25">
      <c r="A591" s="2"/>
    </row>
    <row r="592" spans="1:1" ht="15.75" customHeight="1" x14ac:dyDescent="0.25">
      <c r="A592" s="2"/>
    </row>
    <row r="593" spans="1:1" ht="15.75" customHeight="1" x14ac:dyDescent="0.25">
      <c r="A593" s="2"/>
    </row>
    <row r="594" spans="1:1" ht="15.75" customHeight="1" x14ac:dyDescent="0.25">
      <c r="A594" s="2"/>
    </row>
    <row r="595" spans="1:1" ht="15.75" customHeight="1" x14ac:dyDescent="0.25">
      <c r="A595" s="2"/>
    </row>
    <row r="596" spans="1:1" ht="15.75" customHeight="1" x14ac:dyDescent="0.25">
      <c r="A596" s="2"/>
    </row>
    <row r="597" spans="1:1" ht="15.75" customHeight="1" x14ac:dyDescent="0.25">
      <c r="A597" s="2"/>
    </row>
    <row r="598" spans="1:1" ht="15.75" customHeight="1" x14ac:dyDescent="0.25">
      <c r="A598" s="2"/>
    </row>
    <row r="599" spans="1:1" ht="15.75" customHeight="1" x14ac:dyDescent="0.25">
      <c r="A599" s="2"/>
    </row>
    <row r="600" spans="1:1" ht="15.75" customHeight="1" x14ac:dyDescent="0.25">
      <c r="A600" s="2"/>
    </row>
    <row r="601" spans="1:1" ht="15.75" customHeight="1" x14ac:dyDescent="0.25">
      <c r="A601" s="2"/>
    </row>
    <row r="602" spans="1:1" ht="15.75" customHeight="1" x14ac:dyDescent="0.25">
      <c r="A602" s="2"/>
    </row>
    <row r="603" spans="1:1" ht="15.75" customHeight="1" x14ac:dyDescent="0.25">
      <c r="A603" s="2"/>
    </row>
    <row r="604" spans="1:1" ht="15.75" customHeight="1" x14ac:dyDescent="0.25">
      <c r="A604" s="2"/>
    </row>
    <row r="605" spans="1:1" ht="15.75" customHeight="1" x14ac:dyDescent="0.25">
      <c r="A605" s="2"/>
    </row>
    <row r="606" spans="1:1" ht="15.75" customHeight="1" x14ac:dyDescent="0.25">
      <c r="A606" s="2"/>
    </row>
    <row r="607" spans="1:1" ht="15.75" customHeight="1" x14ac:dyDescent="0.25">
      <c r="A607" s="2"/>
    </row>
    <row r="608" spans="1:1" ht="15.75" customHeight="1" x14ac:dyDescent="0.25">
      <c r="A608" s="2"/>
    </row>
    <row r="609" spans="1:1" ht="15.75" customHeight="1" x14ac:dyDescent="0.25">
      <c r="A609" s="2"/>
    </row>
    <row r="610" spans="1:1" ht="15.75" customHeight="1" x14ac:dyDescent="0.25">
      <c r="A610" s="2"/>
    </row>
    <row r="611" spans="1:1" ht="15.75" customHeight="1" x14ac:dyDescent="0.25">
      <c r="A611" s="2"/>
    </row>
    <row r="612" spans="1:1" ht="15.75" customHeight="1" x14ac:dyDescent="0.25">
      <c r="A612" s="2"/>
    </row>
    <row r="613" spans="1:1" ht="15.75" customHeight="1" x14ac:dyDescent="0.25">
      <c r="A613" s="2"/>
    </row>
    <row r="614" spans="1:1" ht="15.75" customHeight="1" x14ac:dyDescent="0.25">
      <c r="A614" s="2"/>
    </row>
    <row r="615" spans="1:1" ht="15.75" customHeight="1" x14ac:dyDescent="0.25">
      <c r="A615" s="2"/>
    </row>
    <row r="616" spans="1:1" ht="15.75" customHeight="1" x14ac:dyDescent="0.25">
      <c r="A616" s="2"/>
    </row>
    <row r="617" spans="1:1" ht="15.75" customHeight="1" x14ac:dyDescent="0.25">
      <c r="A617" s="2"/>
    </row>
    <row r="618" spans="1:1" ht="15.75" customHeight="1" x14ac:dyDescent="0.25">
      <c r="A618" s="2"/>
    </row>
    <row r="619" spans="1:1" ht="15.75" customHeight="1" x14ac:dyDescent="0.25">
      <c r="A619" s="2"/>
    </row>
    <row r="620" spans="1:1" ht="15.75" customHeight="1" x14ac:dyDescent="0.25">
      <c r="A620" s="2"/>
    </row>
    <row r="621" spans="1:1" ht="15.75" customHeight="1" x14ac:dyDescent="0.25">
      <c r="A621" s="2"/>
    </row>
    <row r="622" spans="1:1" ht="15.75" customHeight="1" x14ac:dyDescent="0.25">
      <c r="A622" s="2"/>
    </row>
    <row r="623" spans="1:1" ht="15.75" customHeight="1" x14ac:dyDescent="0.25">
      <c r="A623" s="2"/>
    </row>
    <row r="624" spans="1:1" ht="15.75" customHeight="1" x14ac:dyDescent="0.25">
      <c r="A624" s="2"/>
    </row>
    <row r="625" spans="1:1" ht="15.75" customHeight="1" x14ac:dyDescent="0.25">
      <c r="A625" s="2"/>
    </row>
    <row r="626" spans="1:1" ht="15.75" customHeight="1" x14ac:dyDescent="0.25">
      <c r="A626" s="2"/>
    </row>
    <row r="627" spans="1:1" ht="15.75" customHeight="1" x14ac:dyDescent="0.25">
      <c r="A627" s="2"/>
    </row>
    <row r="628" spans="1:1" ht="15.75" customHeight="1" x14ac:dyDescent="0.25">
      <c r="A628" s="2"/>
    </row>
    <row r="629" spans="1:1" ht="15.75" customHeight="1" x14ac:dyDescent="0.25">
      <c r="A629" s="2"/>
    </row>
    <row r="630" spans="1:1" ht="15.75" customHeight="1" x14ac:dyDescent="0.25">
      <c r="A630" s="2"/>
    </row>
    <row r="631" spans="1:1" ht="15.75" customHeight="1" x14ac:dyDescent="0.25">
      <c r="A631" s="2"/>
    </row>
    <row r="632" spans="1:1" ht="15.75" customHeight="1" x14ac:dyDescent="0.25">
      <c r="A632" s="2"/>
    </row>
    <row r="633" spans="1:1" ht="15.75" customHeight="1" x14ac:dyDescent="0.25">
      <c r="A633" s="2"/>
    </row>
    <row r="634" spans="1:1" ht="15.75" customHeight="1" x14ac:dyDescent="0.25">
      <c r="A634" s="2"/>
    </row>
    <row r="635" spans="1:1" ht="15.75" customHeight="1" x14ac:dyDescent="0.25">
      <c r="A635" s="2"/>
    </row>
    <row r="636" spans="1:1" ht="15.75" customHeight="1" x14ac:dyDescent="0.25">
      <c r="A636" s="2"/>
    </row>
    <row r="637" spans="1:1" ht="15.75" customHeight="1" x14ac:dyDescent="0.25">
      <c r="A637" s="2"/>
    </row>
    <row r="638" spans="1:1" ht="15.75" customHeight="1" x14ac:dyDescent="0.25">
      <c r="A638" s="2"/>
    </row>
    <row r="639" spans="1:1" ht="15.75" customHeight="1" x14ac:dyDescent="0.25">
      <c r="A639" s="2"/>
    </row>
    <row r="640" spans="1:1" ht="15.75" customHeight="1" x14ac:dyDescent="0.25">
      <c r="A640" s="2"/>
    </row>
    <row r="641" spans="1:1" ht="15.75" customHeight="1" x14ac:dyDescent="0.25">
      <c r="A641" s="2"/>
    </row>
    <row r="642" spans="1:1" ht="15.75" customHeight="1" x14ac:dyDescent="0.25">
      <c r="A642" s="2"/>
    </row>
    <row r="643" spans="1:1" ht="15.75" customHeight="1" x14ac:dyDescent="0.25">
      <c r="A643" s="2"/>
    </row>
    <row r="644" spans="1:1" ht="15.75" customHeight="1" x14ac:dyDescent="0.25">
      <c r="A644" s="2"/>
    </row>
    <row r="645" spans="1:1" ht="15.75" customHeight="1" x14ac:dyDescent="0.25">
      <c r="A645" s="2"/>
    </row>
    <row r="646" spans="1:1" ht="15.75" customHeight="1" x14ac:dyDescent="0.25">
      <c r="A646" s="2"/>
    </row>
    <row r="647" spans="1:1" ht="15.75" customHeight="1" x14ac:dyDescent="0.25">
      <c r="A647" s="2"/>
    </row>
    <row r="648" spans="1:1" ht="15.75" customHeight="1" x14ac:dyDescent="0.25">
      <c r="A648" s="2"/>
    </row>
    <row r="649" spans="1:1" ht="15.75" customHeight="1" x14ac:dyDescent="0.25">
      <c r="A649" s="2"/>
    </row>
    <row r="650" spans="1:1" ht="15.75" customHeight="1" x14ac:dyDescent="0.25">
      <c r="A650" s="2"/>
    </row>
    <row r="651" spans="1:1" ht="15.75" customHeight="1" x14ac:dyDescent="0.25">
      <c r="A651" s="2"/>
    </row>
    <row r="652" spans="1:1" ht="15.75" customHeight="1" x14ac:dyDescent="0.25">
      <c r="A652" s="2"/>
    </row>
    <row r="653" spans="1:1" ht="15.75" customHeight="1" x14ac:dyDescent="0.25">
      <c r="A653" s="2"/>
    </row>
    <row r="654" spans="1:1" ht="15.75" customHeight="1" x14ac:dyDescent="0.25">
      <c r="A654" s="2"/>
    </row>
    <row r="655" spans="1:1" ht="15.75" customHeight="1" x14ac:dyDescent="0.25">
      <c r="A655" s="2"/>
    </row>
    <row r="656" spans="1:1" ht="15.75" customHeight="1" x14ac:dyDescent="0.25">
      <c r="A656" s="2"/>
    </row>
    <row r="657" spans="1:1" ht="15.75" customHeight="1" x14ac:dyDescent="0.25">
      <c r="A657" s="2"/>
    </row>
    <row r="658" spans="1:1" ht="15.75" customHeight="1" x14ac:dyDescent="0.25">
      <c r="A658" s="2"/>
    </row>
    <row r="659" spans="1:1" ht="15.75" customHeight="1" x14ac:dyDescent="0.25">
      <c r="A659" s="2"/>
    </row>
    <row r="660" spans="1:1" ht="15.75" customHeight="1" x14ac:dyDescent="0.25">
      <c r="A660" s="2"/>
    </row>
    <row r="661" spans="1:1" ht="15.75" customHeight="1" x14ac:dyDescent="0.25">
      <c r="A661" s="2"/>
    </row>
    <row r="662" spans="1:1" ht="15.75" customHeight="1" x14ac:dyDescent="0.25">
      <c r="A662" s="2"/>
    </row>
    <row r="663" spans="1:1" ht="15.75" customHeight="1" x14ac:dyDescent="0.25">
      <c r="A663" s="2"/>
    </row>
    <row r="664" spans="1:1" ht="15.75" customHeight="1" x14ac:dyDescent="0.25">
      <c r="A664" s="2"/>
    </row>
    <row r="665" spans="1:1" ht="15.75" customHeight="1" x14ac:dyDescent="0.25">
      <c r="A665" s="2"/>
    </row>
    <row r="666" spans="1:1" ht="15.75" customHeight="1" x14ac:dyDescent="0.25">
      <c r="A666" s="2"/>
    </row>
    <row r="667" spans="1:1" ht="15.75" customHeight="1" x14ac:dyDescent="0.25">
      <c r="A667" s="2"/>
    </row>
    <row r="668" spans="1:1" ht="15.75" customHeight="1" x14ac:dyDescent="0.25">
      <c r="A668" s="2"/>
    </row>
    <row r="669" spans="1:1" ht="15.75" customHeight="1" x14ac:dyDescent="0.25">
      <c r="A669" s="2"/>
    </row>
    <row r="670" spans="1:1" ht="15.75" customHeight="1" x14ac:dyDescent="0.25">
      <c r="A670" s="2"/>
    </row>
    <row r="671" spans="1:1" ht="15.75" customHeight="1" x14ac:dyDescent="0.25">
      <c r="A671" s="2"/>
    </row>
    <row r="672" spans="1:1" ht="15.75" customHeight="1" x14ac:dyDescent="0.25">
      <c r="A672" s="2"/>
    </row>
    <row r="673" spans="1:1" ht="15.75" customHeight="1" x14ac:dyDescent="0.25">
      <c r="A673" s="2"/>
    </row>
    <row r="674" spans="1:1" ht="15.75" customHeight="1" x14ac:dyDescent="0.25">
      <c r="A674" s="2"/>
    </row>
    <row r="675" spans="1:1" ht="15.75" customHeight="1" x14ac:dyDescent="0.25">
      <c r="A675" s="2"/>
    </row>
    <row r="676" spans="1:1" ht="15.75" customHeight="1" x14ac:dyDescent="0.25">
      <c r="A676" s="2"/>
    </row>
    <row r="677" spans="1:1" ht="15.75" customHeight="1" x14ac:dyDescent="0.25">
      <c r="A677" s="2"/>
    </row>
    <row r="678" spans="1:1" ht="15.75" customHeight="1" x14ac:dyDescent="0.25">
      <c r="A678" s="2"/>
    </row>
    <row r="679" spans="1:1" ht="15.75" customHeight="1" x14ac:dyDescent="0.25">
      <c r="A679" s="2"/>
    </row>
    <row r="680" spans="1:1" ht="15.75" customHeight="1" x14ac:dyDescent="0.25">
      <c r="A680" s="2"/>
    </row>
    <row r="681" spans="1:1" ht="15.75" customHeight="1" x14ac:dyDescent="0.25">
      <c r="A681" s="2"/>
    </row>
    <row r="682" spans="1:1" ht="15.75" customHeight="1" x14ac:dyDescent="0.25">
      <c r="A682" s="2"/>
    </row>
    <row r="683" spans="1:1" ht="15.75" customHeight="1" x14ac:dyDescent="0.25">
      <c r="A683" s="2"/>
    </row>
    <row r="684" spans="1:1" ht="15.75" customHeight="1" x14ac:dyDescent="0.25">
      <c r="A684" s="2"/>
    </row>
    <row r="685" spans="1:1" ht="15.75" customHeight="1" x14ac:dyDescent="0.25">
      <c r="A685" s="2"/>
    </row>
    <row r="686" spans="1:1" ht="15.75" customHeight="1" x14ac:dyDescent="0.25">
      <c r="A686" s="2"/>
    </row>
    <row r="687" spans="1:1" ht="15.75" customHeight="1" x14ac:dyDescent="0.25">
      <c r="A687" s="2"/>
    </row>
    <row r="688" spans="1:1" ht="15.75" customHeight="1" x14ac:dyDescent="0.25">
      <c r="A688" s="2"/>
    </row>
    <row r="689" spans="1:1" ht="15.75" customHeight="1" x14ac:dyDescent="0.25">
      <c r="A689" s="2"/>
    </row>
    <row r="690" spans="1:1" ht="15.75" customHeight="1" x14ac:dyDescent="0.25">
      <c r="A690" s="2"/>
    </row>
    <row r="691" spans="1:1" ht="15.75" customHeight="1" x14ac:dyDescent="0.25">
      <c r="A691" s="2"/>
    </row>
    <row r="692" spans="1:1" ht="15.75" customHeight="1" x14ac:dyDescent="0.25">
      <c r="A692" s="2"/>
    </row>
    <row r="693" spans="1:1" ht="15.75" customHeight="1" x14ac:dyDescent="0.25">
      <c r="A693" s="2"/>
    </row>
    <row r="694" spans="1:1" ht="15.75" customHeight="1" x14ac:dyDescent="0.25">
      <c r="A694" s="2"/>
    </row>
    <row r="695" spans="1:1" ht="15.75" customHeight="1" x14ac:dyDescent="0.25">
      <c r="A695" s="2"/>
    </row>
    <row r="696" spans="1:1" ht="15.75" customHeight="1" x14ac:dyDescent="0.25">
      <c r="A696" s="2"/>
    </row>
    <row r="697" spans="1:1" ht="15.75" customHeight="1" x14ac:dyDescent="0.25">
      <c r="A697" s="2"/>
    </row>
    <row r="698" spans="1:1" ht="15.75" customHeight="1" x14ac:dyDescent="0.25">
      <c r="A698" s="2"/>
    </row>
    <row r="699" spans="1:1" ht="15.75" customHeight="1" x14ac:dyDescent="0.25">
      <c r="A699" s="2"/>
    </row>
    <row r="700" spans="1:1" ht="15.75" customHeight="1" x14ac:dyDescent="0.25">
      <c r="A700" s="2"/>
    </row>
    <row r="701" spans="1:1" ht="15.75" customHeight="1" x14ac:dyDescent="0.25">
      <c r="A701" s="2"/>
    </row>
    <row r="702" spans="1:1" ht="15.75" customHeight="1" x14ac:dyDescent="0.25">
      <c r="A702" s="2"/>
    </row>
    <row r="703" spans="1:1" ht="15.75" customHeight="1" x14ac:dyDescent="0.25">
      <c r="A703" s="2"/>
    </row>
    <row r="704" spans="1:1" ht="15.75" customHeight="1" x14ac:dyDescent="0.25">
      <c r="A704" s="2"/>
    </row>
    <row r="705" spans="1:1" ht="15.75" customHeight="1" x14ac:dyDescent="0.25">
      <c r="A705" s="2"/>
    </row>
    <row r="706" spans="1:1" ht="15.75" customHeight="1" x14ac:dyDescent="0.25">
      <c r="A706" s="2"/>
    </row>
    <row r="707" spans="1:1" ht="15.75" customHeight="1" x14ac:dyDescent="0.25">
      <c r="A707" s="2"/>
    </row>
    <row r="708" spans="1:1" ht="15.75" customHeight="1" x14ac:dyDescent="0.25">
      <c r="A708" s="2"/>
    </row>
    <row r="709" spans="1:1" ht="15.75" customHeight="1" x14ac:dyDescent="0.25">
      <c r="A709" s="2"/>
    </row>
    <row r="710" spans="1:1" ht="15.75" customHeight="1" x14ac:dyDescent="0.25">
      <c r="A710" s="2"/>
    </row>
    <row r="711" spans="1:1" ht="15.75" customHeight="1" x14ac:dyDescent="0.25">
      <c r="A711" s="2"/>
    </row>
    <row r="712" spans="1:1" ht="15.75" customHeight="1" x14ac:dyDescent="0.25">
      <c r="A712" s="2"/>
    </row>
    <row r="713" spans="1:1" ht="15.75" customHeight="1" x14ac:dyDescent="0.25">
      <c r="A713" s="2"/>
    </row>
    <row r="714" spans="1:1" ht="15.75" customHeight="1" x14ac:dyDescent="0.25">
      <c r="A714" s="2"/>
    </row>
    <row r="715" spans="1:1" ht="15.75" customHeight="1" x14ac:dyDescent="0.25">
      <c r="A715" s="2"/>
    </row>
    <row r="716" spans="1:1" ht="15.75" customHeight="1" x14ac:dyDescent="0.25">
      <c r="A716" s="2"/>
    </row>
    <row r="717" spans="1:1" ht="15.75" customHeight="1" x14ac:dyDescent="0.25">
      <c r="A717" s="2"/>
    </row>
    <row r="718" spans="1:1" ht="15.75" customHeight="1" x14ac:dyDescent="0.25">
      <c r="A718" s="2"/>
    </row>
    <row r="719" spans="1:1" ht="15.75" customHeight="1" x14ac:dyDescent="0.25">
      <c r="A719" s="2"/>
    </row>
    <row r="720" spans="1:1" ht="15.75" customHeight="1" x14ac:dyDescent="0.25">
      <c r="A720" s="2"/>
    </row>
    <row r="721" spans="1:1" ht="15.75" customHeight="1" x14ac:dyDescent="0.25">
      <c r="A721" s="2"/>
    </row>
    <row r="722" spans="1:1" ht="15.75" customHeight="1" x14ac:dyDescent="0.25">
      <c r="A722" s="2"/>
    </row>
    <row r="723" spans="1:1" ht="15.75" customHeight="1" x14ac:dyDescent="0.25">
      <c r="A723" s="2"/>
    </row>
    <row r="724" spans="1:1" ht="15.75" customHeight="1" x14ac:dyDescent="0.25">
      <c r="A724" s="2"/>
    </row>
    <row r="725" spans="1:1" ht="15.75" customHeight="1" x14ac:dyDescent="0.25">
      <c r="A725" s="2"/>
    </row>
    <row r="726" spans="1:1" ht="15.75" customHeight="1" x14ac:dyDescent="0.25">
      <c r="A726" s="2"/>
    </row>
    <row r="727" spans="1:1" ht="15.75" customHeight="1" x14ac:dyDescent="0.25">
      <c r="A727" s="2"/>
    </row>
    <row r="728" spans="1:1" ht="15.75" customHeight="1" x14ac:dyDescent="0.25">
      <c r="A728" s="2"/>
    </row>
    <row r="729" spans="1:1" ht="15.75" customHeight="1" x14ac:dyDescent="0.25">
      <c r="A729" s="2"/>
    </row>
    <row r="730" spans="1:1" ht="15.75" customHeight="1" x14ac:dyDescent="0.25">
      <c r="A730" s="2"/>
    </row>
    <row r="731" spans="1:1" ht="15.75" customHeight="1" x14ac:dyDescent="0.25">
      <c r="A731" s="2"/>
    </row>
    <row r="732" spans="1:1" ht="15.75" customHeight="1" x14ac:dyDescent="0.25">
      <c r="A732" s="2"/>
    </row>
    <row r="733" spans="1:1" ht="15.75" customHeight="1" x14ac:dyDescent="0.25">
      <c r="A733" s="2"/>
    </row>
    <row r="734" spans="1:1" ht="15.75" customHeight="1" x14ac:dyDescent="0.25">
      <c r="A734" s="2"/>
    </row>
    <row r="735" spans="1:1" ht="15.75" customHeight="1" x14ac:dyDescent="0.25">
      <c r="A735" s="2"/>
    </row>
    <row r="736" spans="1:1" ht="15.75" customHeight="1" x14ac:dyDescent="0.25">
      <c r="A736" s="2"/>
    </row>
    <row r="737" spans="1:1" ht="15.75" customHeight="1" x14ac:dyDescent="0.25">
      <c r="A737" s="2"/>
    </row>
    <row r="738" spans="1:1" ht="15.75" customHeight="1" x14ac:dyDescent="0.25">
      <c r="A738" s="2"/>
    </row>
    <row r="739" spans="1:1" ht="15.75" customHeight="1" x14ac:dyDescent="0.25">
      <c r="A739" s="2"/>
    </row>
    <row r="740" spans="1:1" ht="15.75" customHeight="1" x14ac:dyDescent="0.25">
      <c r="A740" s="2"/>
    </row>
    <row r="741" spans="1:1" ht="15.75" customHeight="1" x14ac:dyDescent="0.25">
      <c r="A741" s="2"/>
    </row>
    <row r="742" spans="1:1" ht="15.75" customHeight="1" x14ac:dyDescent="0.25">
      <c r="A742" s="2"/>
    </row>
    <row r="743" spans="1:1" ht="15.75" customHeight="1" x14ac:dyDescent="0.25">
      <c r="A743" s="2"/>
    </row>
    <row r="744" spans="1:1" ht="15.75" customHeight="1" x14ac:dyDescent="0.25">
      <c r="A744" s="2"/>
    </row>
    <row r="745" spans="1:1" ht="15.75" customHeight="1" x14ac:dyDescent="0.25">
      <c r="A745" s="2"/>
    </row>
    <row r="746" spans="1:1" ht="15.75" customHeight="1" x14ac:dyDescent="0.25">
      <c r="A746" s="2"/>
    </row>
    <row r="747" spans="1:1" ht="15.75" customHeight="1" x14ac:dyDescent="0.25">
      <c r="A747" s="2"/>
    </row>
    <row r="748" spans="1:1" ht="15.75" customHeight="1" x14ac:dyDescent="0.25">
      <c r="A748" s="2"/>
    </row>
    <row r="749" spans="1:1" ht="15.75" customHeight="1" x14ac:dyDescent="0.25">
      <c r="A749" s="2"/>
    </row>
    <row r="750" spans="1:1" ht="15.75" customHeight="1" x14ac:dyDescent="0.25">
      <c r="A750" s="2"/>
    </row>
    <row r="751" spans="1:1" ht="15.75" customHeight="1" x14ac:dyDescent="0.25">
      <c r="A751" s="2"/>
    </row>
    <row r="752" spans="1:1" ht="15.75" customHeight="1" x14ac:dyDescent="0.25">
      <c r="A752" s="2"/>
    </row>
    <row r="753" spans="1:1" ht="15.75" customHeight="1" x14ac:dyDescent="0.25">
      <c r="A753" s="2"/>
    </row>
    <row r="754" spans="1:1" ht="15.75" customHeight="1" x14ac:dyDescent="0.25">
      <c r="A754" s="2"/>
    </row>
    <row r="755" spans="1:1" ht="15.75" customHeight="1" x14ac:dyDescent="0.25">
      <c r="A755" s="2"/>
    </row>
    <row r="756" spans="1:1" ht="15.75" customHeight="1" x14ac:dyDescent="0.25">
      <c r="A756" s="2"/>
    </row>
    <row r="757" spans="1:1" ht="15.75" customHeight="1" x14ac:dyDescent="0.25">
      <c r="A757" s="2"/>
    </row>
    <row r="758" spans="1:1" ht="15.75" customHeight="1" x14ac:dyDescent="0.25">
      <c r="A758" s="2"/>
    </row>
    <row r="759" spans="1:1" ht="15.75" customHeight="1" x14ac:dyDescent="0.25">
      <c r="A759" s="2"/>
    </row>
    <row r="760" spans="1:1" ht="15.75" customHeight="1" x14ac:dyDescent="0.25">
      <c r="A760" s="2"/>
    </row>
    <row r="761" spans="1:1" ht="15.75" customHeight="1" x14ac:dyDescent="0.25">
      <c r="A761" s="2"/>
    </row>
    <row r="762" spans="1:1" ht="15.75" customHeight="1" x14ac:dyDescent="0.25">
      <c r="A762" s="2"/>
    </row>
    <row r="763" spans="1:1" ht="15.75" customHeight="1" x14ac:dyDescent="0.25">
      <c r="A763" s="2"/>
    </row>
    <row r="764" spans="1:1" ht="15.75" customHeight="1" x14ac:dyDescent="0.25">
      <c r="A764" s="2"/>
    </row>
    <row r="765" spans="1:1" ht="15.75" customHeight="1" x14ac:dyDescent="0.25">
      <c r="A765" s="2"/>
    </row>
    <row r="766" spans="1:1" ht="15.75" customHeight="1" x14ac:dyDescent="0.25">
      <c r="A766" s="2"/>
    </row>
    <row r="767" spans="1:1" ht="15.75" customHeight="1" x14ac:dyDescent="0.25">
      <c r="A767" s="2"/>
    </row>
    <row r="768" spans="1:1" ht="15.75" customHeight="1" x14ac:dyDescent="0.25">
      <c r="A768" s="2"/>
    </row>
    <row r="769" spans="1:1" ht="15.75" customHeight="1" x14ac:dyDescent="0.25">
      <c r="A769" s="2"/>
    </row>
    <row r="770" spans="1:1" ht="15.75" customHeight="1" x14ac:dyDescent="0.25">
      <c r="A770" s="2"/>
    </row>
    <row r="771" spans="1:1" ht="15.75" customHeight="1" x14ac:dyDescent="0.25">
      <c r="A771" s="2"/>
    </row>
    <row r="772" spans="1:1" ht="15.75" customHeight="1" x14ac:dyDescent="0.25">
      <c r="A772" s="2"/>
    </row>
    <row r="773" spans="1:1" ht="15.75" customHeight="1" x14ac:dyDescent="0.25">
      <c r="A773" s="2"/>
    </row>
    <row r="774" spans="1:1" ht="15.75" customHeight="1" x14ac:dyDescent="0.25">
      <c r="A774" s="2"/>
    </row>
    <row r="775" spans="1:1" ht="15.75" customHeight="1" x14ac:dyDescent="0.25">
      <c r="A775" s="2"/>
    </row>
    <row r="776" spans="1:1" ht="15.75" customHeight="1" x14ac:dyDescent="0.25">
      <c r="A776" s="2"/>
    </row>
    <row r="777" spans="1:1" ht="15.75" customHeight="1" x14ac:dyDescent="0.25">
      <c r="A777" s="2"/>
    </row>
    <row r="778" spans="1:1" ht="15.75" customHeight="1" x14ac:dyDescent="0.25">
      <c r="A778" s="2"/>
    </row>
    <row r="779" spans="1:1" ht="15.75" customHeight="1" x14ac:dyDescent="0.25">
      <c r="A779" s="2"/>
    </row>
    <row r="780" spans="1:1" ht="15.75" customHeight="1" x14ac:dyDescent="0.25">
      <c r="A780" s="2"/>
    </row>
    <row r="781" spans="1:1" ht="15.75" customHeight="1" x14ac:dyDescent="0.25">
      <c r="A781" s="2"/>
    </row>
    <row r="782" spans="1:1" ht="15.75" customHeight="1" x14ac:dyDescent="0.25">
      <c r="A782" s="2"/>
    </row>
    <row r="783" spans="1:1" ht="15.75" customHeight="1" x14ac:dyDescent="0.25">
      <c r="A783" s="2"/>
    </row>
    <row r="784" spans="1:1" ht="15.75" customHeight="1" x14ac:dyDescent="0.25">
      <c r="A784" s="2"/>
    </row>
    <row r="785" spans="1:1" ht="15.75" customHeight="1" x14ac:dyDescent="0.25">
      <c r="A785" s="2"/>
    </row>
    <row r="786" spans="1:1" ht="15.75" customHeight="1" x14ac:dyDescent="0.25">
      <c r="A786" s="2"/>
    </row>
    <row r="787" spans="1:1" ht="15.75" customHeight="1" x14ac:dyDescent="0.25">
      <c r="A787" s="2"/>
    </row>
    <row r="788" spans="1:1" ht="15.75" customHeight="1" x14ac:dyDescent="0.25">
      <c r="A788" s="2"/>
    </row>
    <row r="789" spans="1:1" ht="15.75" customHeight="1" x14ac:dyDescent="0.25">
      <c r="A789" s="2"/>
    </row>
    <row r="790" spans="1:1" ht="15.75" customHeight="1" x14ac:dyDescent="0.25">
      <c r="A790" s="2"/>
    </row>
    <row r="791" spans="1:1" ht="15.75" customHeight="1" x14ac:dyDescent="0.25">
      <c r="A791" s="2"/>
    </row>
    <row r="792" spans="1:1" ht="15.75" customHeight="1" x14ac:dyDescent="0.25">
      <c r="A792" s="2"/>
    </row>
    <row r="793" spans="1:1" ht="15.75" customHeight="1" x14ac:dyDescent="0.25">
      <c r="A793" s="2"/>
    </row>
    <row r="794" spans="1:1" ht="15.75" customHeight="1" x14ac:dyDescent="0.25">
      <c r="A794" s="2"/>
    </row>
    <row r="795" spans="1:1" ht="15.75" customHeight="1" x14ac:dyDescent="0.25">
      <c r="A795" s="2"/>
    </row>
    <row r="796" spans="1:1" ht="15.75" customHeight="1" x14ac:dyDescent="0.25">
      <c r="A796" s="2"/>
    </row>
    <row r="797" spans="1:1" ht="15.75" customHeight="1" x14ac:dyDescent="0.25">
      <c r="A797" s="2"/>
    </row>
    <row r="798" spans="1:1" ht="15.75" customHeight="1" x14ac:dyDescent="0.25">
      <c r="A798" s="2"/>
    </row>
    <row r="799" spans="1:1" ht="15.75" customHeight="1" x14ac:dyDescent="0.25">
      <c r="A799" s="2"/>
    </row>
    <row r="800" spans="1:1" ht="15.75" customHeight="1" x14ac:dyDescent="0.25">
      <c r="A800" s="2"/>
    </row>
    <row r="801" spans="1:1" ht="15.75" customHeight="1" x14ac:dyDescent="0.25">
      <c r="A801" s="2"/>
    </row>
    <row r="802" spans="1:1" ht="15.75" customHeight="1" x14ac:dyDescent="0.25">
      <c r="A802" s="2"/>
    </row>
    <row r="803" spans="1:1" ht="15.75" customHeight="1" x14ac:dyDescent="0.25">
      <c r="A803" s="2"/>
    </row>
    <row r="804" spans="1:1" ht="15.75" customHeight="1" x14ac:dyDescent="0.25">
      <c r="A804" s="2"/>
    </row>
    <row r="805" spans="1:1" ht="15.75" customHeight="1" x14ac:dyDescent="0.25">
      <c r="A805" s="2"/>
    </row>
    <row r="806" spans="1:1" ht="15.75" customHeight="1" x14ac:dyDescent="0.25">
      <c r="A806" s="2"/>
    </row>
    <row r="807" spans="1:1" ht="15.75" customHeight="1" x14ac:dyDescent="0.25">
      <c r="A807" s="2"/>
    </row>
    <row r="808" spans="1:1" ht="15.75" customHeight="1" x14ac:dyDescent="0.25">
      <c r="A808" s="2"/>
    </row>
    <row r="809" spans="1:1" ht="15.75" customHeight="1" x14ac:dyDescent="0.25">
      <c r="A809" s="2"/>
    </row>
    <row r="810" spans="1:1" ht="15.75" customHeight="1" x14ac:dyDescent="0.25">
      <c r="A810" s="2"/>
    </row>
    <row r="811" spans="1:1" ht="15.75" customHeight="1" x14ac:dyDescent="0.25">
      <c r="A811" s="2"/>
    </row>
    <row r="812" spans="1:1" ht="15.75" customHeight="1" x14ac:dyDescent="0.25">
      <c r="A812" s="2"/>
    </row>
    <row r="813" spans="1:1" ht="15.75" customHeight="1" x14ac:dyDescent="0.25">
      <c r="A813" s="2"/>
    </row>
    <row r="814" spans="1:1" ht="15.75" customHeight="1" x14ac:dyDescent="0.25">
      <c r="A814" s="2"/>
    </row>
    <row r="815" spans="1:1" ht="15.75" customHeight="1" x14ac:dyDescent="0.25">
      <c r="A815" s="2"/>
    </row>
    <row r="816" spans="1:1" ht="15.75" customHeight="1" x14ac:dyDescent="0.25">
      <c r="A816" s="2"/>
    </row>
    <row r="817" spans="1:1" ht="15.75" customHeight="1" x14ac:dyDescent="0.25">
      <c r="A817" s="2"/>
    </row>
    <row r="818" spans="1:1" ht="15.75" customHeight="1" x14ac:dyDescent="0.25">
      <c r="A818" s="2"/>
    </row>
    <row r="819" spans="1:1" ht="15.75" customHeight="1" x14ac:dyDescent="0.25">
      <c r="A819" s="2"/>
    </row>
    <row r="820" spans="1:1" ht="15.75" customHeight="1" x14ac:dyDescent="0.25">
      <c r="A820" s="2"/>
    </row>
    <row r="821" spans="1:1" ht="15.75" customHeight="1" x14ac:dyDescent="0.25">
      <c r="A821" s="2"/>
    </row>
    <row r="822" spans="1:1" ht="15.75" customHeight="1" x14ac:dyDescent="0.25">
      <c r="A822" s="2"/>
    </row>
    <row r="823" spans="1:1" ht="15.75" customHeight="1" x14ac:dyDescent="0.25">
      <c r="A823" s="2"/>
    </row>
    <row r="824" spans="1:1" ht="15.75" customHeight="1" x14ac:dyDescent="0.25">
      <c r="A824" s="2"/>
    </row>
    <row r="825" spans="1:1" ht="15.75" customHeight="1" x14ac:dyDescent="0.25">
      <c r="A825" s="2"/>
    </row>
    <row r="826" spans="1:1" ht="15.75" customHeight="1" x14ac:dyDescent="0.25">
      <c r="A826" s="2"/>
    </row>
    <row r="827" spans="1:1" ht="15.75" customHeight="1" x14ac:dyDescent="0.25">
      <c r="A827" s="2"/>
    </row>
    <row r="828" spans="1:1" ht="15.75" customHeight="1" x14ac:dyDescent="0.25">
      <c r="A828" s="2"/>
    </row>
    <row r="829" spans="1:1" ht="15.75" customHeight="1" x14ac:dyDescent="0.25">
      <c r="A829" s="2"/>
    </row>
    <row r="830" spans="1:1" ht="15.75" customHeight="1" x14ac:dyDescent="0.25">
      <c r="A830" s="2"/>
    </row>
    <row r="831" spans="1:1" ht="15.75" customHeight="1" x14ac:dyDescent="0.25">
      <c r="A831" s="2"/>
    </row>
    <row r="832" spans="1:1" ht="15.75" customHeight="1" x14ac:dyDescent="0.25">
      <c r="A832" s="2"/>
    </row>
    <row r="833" spans="1:1" ht="15.75" customHeight="1" x14ac:dyDescent="0.25">
      <c r="A833" s="2"/>
    </row>
    <row r="834" spans="1:1" ht="15.75" customHeight="1" x14ac:dyDescent="0.25">
      <c r="A834" s="2"/>
    </row>
    <row r="835" spans="1:1" ht="15.75" customHeight="1" x14ac:dyDescent="0.25">
      <c r="A835" s="2"/>
    </row>
    <row r="836" spans="1:1" ht="15.75" customHeight="1" x14ac:dyDescent="0.25">
      <c r="A836" s="2"/>
    </row>
    <row r="837" spans="1:1" ht="15.75" customHeight="1" x14ac:dyDescent="0.25">
      <c r="A837" s="2"/>
    </row>
    <row r="838" spans="1:1" ht="15.75" customHeight="1" x14ac:dyDescent="0.25">
      <c r="A838" s="2"/>
    </row>
  </sheetData>
  <conditionalFormatting sqref="B27:F33">
    <cfRule type="colorScale" priority="1">
      <colorScale>
        <cfvo type="min"/>
        <cfvo type="percentile" val="50"/>
        <cfvo type="max"/>
        <color rgb="FFF8696B"/>
        <color rgb="FFFFEB84"/>
        <color rgb="FF63BE7B"/>
      </colorScale>
    </cfRule>
  </conditionalFormatting>
  <pageMargins left="0.25" right="0.25" top="0.75" bottom="0.75" header="0" footer="0"/>
  <pageSetup orientation="landscape"/>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L91"/>
  <sheetViews>
    <sheetView zoomScaleNormal="100" workbookViewId="0">
      <selection activeCell="D27" sqref="D27"/>
    </sheetView>
  </sheetViews>
  <sheetFormatPr defaultColWidth="12.625" defaultRowHeight="15" customHeight="1" x14ac:dyDescent="0.2"/>
  <cols>
    <col min="1" max="1" width="3.375" style="50" customWidth="1"/>
    <col min="2" max="2" width="23.5" style="50" customWidth="1"/>
    <col min="3" max="11" width="14.375" customWidth="1"/>
    <col min="12" max="12" width="40.5" customWidth="1"/>
  </cols>
  <sheetData>
    <row r="1" spans="1:12" x14ac:dyDescent="0.25">
      <c r="A1" s="176" t="s">
        <v>118</v>
      </c>
    </row>
    <row r="2" spans="1:12" ht="14.25" x14ac:dyDescent="0.2"/>
    <row r="3" spans="1:12" ht="15" customHeight="1" x14ac:dyDescent="0.2">
      <c r="A3" s="61"/>
      <c r="B3" s="62" t="str">
        <f>'Case &amp; Scenario Parameters'!A3</f>
        <v>EXAMPLE</v>
      </c>
      <c r="C3" s="164" t="s">
        <v>181</v>
      </c>
      <c r="D3" s="164"/>
      <c r="E3" s="164"/>
      <c r="F3" s="164"/>
      <c r="G3" s="165"/>
      <c r="H3" s="166" t="s">
        <v>182</v>
      </c>
      <c r="I3" s="167"/>
      <c r="J3" s="167"/>
      <c r="K3" s="168"/>
    </row>
    <row r="4" spans="1:12" ht="60" x14ac:dyDescent="0.25">
      <c r="A4" s="62"/>
      <c r="B4" s="62" t="s">
        <v>210</v>
      </c>
      <c r="C4" s="63" t="s">
        <v>111</v>
      </c>
      <c r="D4" s="57" t="s">
        <v>110</v>
      </c>
      <c r="E4" s="57" t="s">
        <v>69</v>
      </c>
      <c r="F4" s="57" t="s">
        <v>70</v>
      </c>
      <c r="G4" s="57" t="s">
        <v>71</v>
      </c>
      <c r="H4" s="53" t="s">
        <v>110</v>
      </c>
      <c r="I4" s="14" t="s">
        <v>72</v>
      </c>
      <c r="J4" s="14" t="s">
        <v>73</v>
      </c>
      <c r="K4" s="14" t="s">
        <v>74</v>
      </c>
      <c r="L4" s="171" t="s">
        <v>132</v>
      </c>
    </row>
    <row r="5" spans="1:12" ht="15" customHeight="1" x14ac:dyDescent="0.2">
      <c r="A5" s="177"/>
      <c r="B5" s="177" t="s">
        <v>75</v>
      </c>
      <c r="C5" s="58">
        <f>'Case &amp; Scenario Parameters'!$G$4*'Case &amp; Scenario Parameters'!$B$22</f>
        <v>63180000</v>
      </c>
      <c r="D5" s="58">
        <f>'Case &amp; Scenario Parameters'!$G$4*'Case &amp; Scenario Parameters'!$B$29</f>
        <v>64935000</v>
      </c>
      <c r="E5" s="58">
        <f>'Case &amp; Scenario Parameters'!$G$4*'Case &amp; Scenario Parameters'!$B$36</f>
        <v>68445000</v>
      </c>
      <c r="F5" s="58">
        <f>'Case &amp; Scenario Parameters'!$G$4*'Case &amp; Scenario Parameters'!$B$43</f>
        <v>66690000</v>
      </c>
      <c r="G5" s="58">
        <f>'Case &amp; Scenario Parameters'!$G$4*'Case &amp; Scenario Parameters'!$B$50</f>
        <v>70200000</v>
      </c>
      <c r="H5" s="54">
        <f>D5-C5</f>
        <v>1755000</v>
      </c>
      <c r="I5" s="15">
        <f>E5-C5</f>
        <v>5265000</v>
      </c>
      <c r="J5" s="15">
        <f>F5-C5</f>
        <v>3510000</v>
      </c>
      <c r="K5" s="15">
        <f>G5-C5</f>
        <v>7020000</v>
      </c>
    </row>
    <row r="6" spans="1:12" ht="15" customHeight="1" x14ac:dyDescent="0.2">
      <c r="A6" s="178" t="s">
        <v>145</v>
      </c>
      <c r="B6" s="177" t="s">
        <v>211</v>
      </c>
      <c r="C6" s="59">
        <f>Base!L61</f>
        <v>19326411.279999997</v>
      </c>
      <c r="D6" s="59">
        <f>Scenario1!L61</f>
        <v>22898992.530000009</v>
      </c>
      <c r="E6" s="59">
        <f>Scenario2!L61</f>
        <v>30617995.780000009</v>
      </c>
      <c r="F6" s="59">
        <f>Scenario3!L61</f>
        <v>44918118.279999986</v>
      </c>
      <c r="G6" s="59">
        <f>Scenario4!L61</f>
        <v>60320240.279999979</v>
      </c>
      <c r="H6" s="55">
        <f>D6-C6</f>
        <v>3572581.2500000112</v>
      </c>
      <c r="I6" s="16">
        <f>E6-C6</f>
        <v>11291584.500000011</v>
      </c>
      <c r="J6" s="16">
        <f>F6-C6</f>
        <v>25591706.999999989</v>
      </c>
      <c r="K6" s="16">
        <f>G6-C6</f>
        <v>40993828.999999985</v>
      </c>
    </row>
    <row r="7" spans="1:12" ht="15" customHeight="1" x14ac:dyDescent="0.2">
      <c r="A7" s="179"/>
      <c r="B7" s="177" t="s">
        <v>188</v>
      </c>
      <c r="C7" s="133">
        <f>C6/C$5/10</f>
        <v>3.0589444887622663E-2</v>
      </c>
      <c r="D7" s="133">
        <f t="shared" ref="D7:K7" si="0">D6/D$5/10</f>
        <v>3.5264483760683772E-2</v>
      </c>
      <c r="E7" s="133">
        <f t="shared" si="0"/>
        <v>4.4733721645116534E-2</v>
      </c>
      <c r="F7" s="133">
        <f t="shared" si="0"/>
        <v>6.7353603658719424E-2</v>
      </c>
      <c r="G7" s="133">
        <f t="shared" si="0"/>
        <v>8.5926268205128178E-2</v>
      </c>
      <c r="H7" s="134">
        <f t="shared" si="0"/>
        <v>0.20356588319088384</v>
      </c>
      <c r="I7" s="134">
        <f t="shared" si="0"/>
        <v>0.21446504273504297</v>
      </c>
      <c r="J7" s="134">
        <f t="shared" si="0"/>
        <v>0.72910846153846121</v>
      </c>
      <c r="K7" s="134">
        <f t="shared" si="0"/>
        <v>0.58395767806267784</v>
      </c>
      <c r="L7" s="74" t="s">
        <v>198</v>
      </c>
    </row>
    <row r="8" spans="1:12" ht="15" customHeight="1" x14ac:dyDescent="0.2">
      <c r="A8" s="179"/>
      <c r="B8" s="177" t="s">
        <v>189</v>
      </c>
      <c r="C8" s="59">
        <f>Base!L63</f>
        <v>993150000</v>
      </c>
      <c r="D8" s="59">
        <f>Scenario1!L63</f>
        <v>1020737500</v>
      </c>
      <c r="E8" s="59">
        <f>Scenario2!L63</f>
        <v>1075912500</v>
      </c>
      <c r="F8" s="59">
        <f>Scenario3!L63</f>
        <v>1048325000</v>
      </c>
      <c r="G8" s="59">
        <f>Scenario4!L63</f>
        <v>1103500000</v>
      </c>
      <c r="H8" s="55">
        <f>D8-C8</f>
        <v>27587500</v>
      </c>
      <c r="I8" s="16">
        <f>E8-C8</f>
        <v>82762500</v>
      </c>
      <c r="J8" s="16">
        <f>F8-C8</f>
        <v>55175000</v>
      </c>
      <c r="K8" s="16">
        <f>G8-C8</f>
        <v>110350000</v>
      </c>
    </row>
    <row r="9" spans="1:12" ht="15" customHeight="1" x14ac:dyDescent="0.2">
      <c r="A9" s="179"/>
      <c r="B9" s="177" t="s">
        <v>188</v>
      </c>
      <c r="C9" s="135">
        <f>C8/C$5/10</f>
        <v>1.5719373219373218</v>
      </c>
      <c r="D9" s="135">
        <f t="shared" ref="D9:K9" si="1">D8/D$5/10</f>
        <v>1.5719373219373218</v>
      </c>
      <c r="E9" s="135">
        <f t="shared" si="1"/>
        <v>1.5719373219373218</v>
      </c>
      <c r="F9" s="135">
        <f t="shared" si="1"/>
        <v>1.5719373219373218</v>
      </c>
      <c r="G9" s="135">
        <f t="shared" si="1"/>
        <v>1.5719373219373218</v>
      </c>
      <c r="H9" s="135">
        <f t="shared" si="1"/>
        <v>1.5719373219373218</v>
      </c>
      <c r="I9" s="135">
        <f t="shared" si="1"/>
        <v>1.5719373219373218</v>
      </c>
      <c r="J9" s="135">
        <f t="shared" si="1"/>
        <v>1.5719373219373218</v>
      </c>
      <c r="K9" s="135">
        <f t="shared" si="1"/>
        <v>1.5719373219373218</v>
      </c>
      <c r="L9" s="74" t="s">
        <v>199</v>
      </c>
    </row>
    <row r="10" spans="1:12" ht="15" customHeight="1" x14ac:dyDescent="0.2">
      <c r="A10" s="179"/>
      <c r="B10" s="177" t="s">
        <v>76</v>
      </c>
      <c r="C10" s="60">
        <f>C8-C6</f>
        <v>973823588.72000003</v>
      </c>
      <c r="D10" s="60">
        <f>D8-D6</f>
        <v>997838507.47000003</v>
      </c>
      <c r="E10" s="60">
        <f>E8-E6</f>
        <v>1045294504.22</v>
      </c>
      <c r="F10" s="60">
        <f>F8-F6</f>
        <v>1003406881.72</v>
      </c>
      <c r="G10" s="60">
        <f>G8-G6</f>
        <v>1043179759.72</v>
      </c>
      <c r="H10" s="56">
        <f>D10-C10</f>
        <v>24014918.75</v>
      </c>
      <c r="I10" s="17">
        <f>E10-C10</f>
        <v>71470915.5</v>
      </c>
      <c r="J10" s="17">
        <f>F10-C10</f>
        <v>29583293</v>
      </c>
      <c r="K10" s="17">
        <f>G10-C10</f>
        <v>69356171</v>
      </c>
    </row>
    <row r="11" spans="1:12" ht="15" customHeight="1" x14ac:dyDescent="0.2">
      <c r="A11" s="180" t="s">
        <v>146</v>
      </c>
      <c r="B11" s="181" t="s">
        <v>187</v>
      </c>
      <c r="C11" s="64">
        <f>Base!L117</f>
        <v>39263995.75</v>
      </c>
      <c r="D11" s="59">
        <f>Scenario1!L117</f>
        <v>46409158.25</v>
      </c>
      <c r="E11" s="59">
        <f>Scenario2!L117</f>
        <v>56244003.25</v>
      </c>
      <c r="F11" s="59">
        <f>Scenario3!L117</f>
        <v>64242873.25</v>
      </c>
      <c r="G11" s="59">
        <f>Scenario4!L117</f>
        <v>89245325.75</v>
      </c>
      <c r="H11" s="55">
        <f>D11-C11</f>
        <v>7145162.5</v>
      </c>
      <c r="I11" s="16">
        <f>E11-C11</f>
        <v>16980007.5</v>
      </c>
      <c r="J11" s="16">
        <f>F11-C11</f>
        <v>24978877.5</v>
      </c>
      <c r="K11" s="16">
        <f>G11-C11</f>
        <v>49981330</v>
      </c>
    </row>
    <row r="12" spans="1:12" ht="15" customHeight="1" x14ac:dyDescent="0.2">
      <c r="A12" s="182"/>
      <c r="B12" s="177" t="s">
        <v>188</v>
      </c>
      <c r="C12" s="133">
        <f>C11/C$5/10</f>
        <v>6.2146242086103198E-2</v>
      </c>
      <c r="D12" s="133">
        <f t="shared" ref="D12:K12" si="2">D11/D$5/10</f>
        <v>7.1470175175175177E-2</v>
      </c>
      <c r="E12" s="133">
        <f t="shared" si="2"/>
        <v>8.217401307619257E-2</v>
      </c>
      <c r="F12" s="133">
        <f t="shared" si="2"/>
        <v>9.6330594167041539E-2</v>
      </c>
      <c r="G12" s="133">
        <f t="shared" si="2"/>
        <v>0.12713009366096867</v>
      </c>
      <c r="H12" s="133">
        <f t="shared" si="2"/>
        <v>0.40713176638176635</v>
      </c>
      <c r="I12" s="133">
        <f t="shared" si="2"/>
        <v>0.32250726495726495</v>
      </c>
      <c r="J12" s="133">
        <f t="shared" si="2"/>
        <v>0.71164893162393161</v>
      </c>
      <c r="K12" s="133">
        <f t="shared" si="2"/>
        <v>0.7119847578347579</v>
      </c>
      <c r="L12" s="74" t="s">
        <v>198</v>
      </c>
    </row>
    <row r="13" spans="1:12" ht="15" customHeight="1" x14ac:dyDescent="0.2">
      <c r="A13" s="182"/>
      <c r="B13" s="183" t="s">
        <v>189</v>
      </c>
      <c r="C13" s="59">
        <f>C8</f>
        <v>993150000</v>
      </c>
      <c r="D13" s="59">
        <f>D8</f>
        <v>1020737500</v>
      </c>
      <c r="E13" s="59">
        <f>E8</f>
        <v>1075912500</v>
      </c>
      <c r="F13" s="59">
        <f>F8</f>
        <v>1048325000</v>
      </c>
      <c r="G13" s="59">
        <f>G8</f>
        <v>1103500000</v>
      </c>
      <c r="H13" s="55">
        <f>D13-C13</f>
        <v>27587500</v>
      </c>
      <c r="I13" s="16">
        <f>E13-C13</f>
        <v>82762500</v>
      </c>
      <c r="J13" s="16">
        <f>F13-C13</f>
        <v>55175000</v>
      </c>
      <c r="K13" s="16">
        <f>G13-C13</f>
        <v>110350000</v>
      </c>
    </row>
    <row r="14" spans="1:12" ht="15" customHeight="1" x14ac:dyDescent="0.2">
      <c r="A14" s="182"/>
      <c r="B14" s="177" t="s">
        <v>188</v>
      </c>
      <c r="C14" s="135">
        <f>C13/C$5/10</f>
        <v>1.5719373219373218</v>
      </c>
      <c r="D14" s="135">
        <f t="shared" ref="D14:K14" si="3">D13/D$5/10</f>
        <v>1.5719373219373218</v>
      </c>
      <c r="E14" s="135">
        <f t="shared" si="3"/>
        <v>1.5719373219373218</v>
      </c>
      <c r="F14" s="135">
        <f t="shared" si="3"/>
        <v>1.5719373219373218</v>
      </c>
      <c r="G14" s="135">
        <f t="shared" si="3"/>
        <v>1.5719373219373218</v>
      </c>
      <c r="H14" s="135">
        <f t="shared" si="3"/>
        <v>1.5719373219373218</v>
      </c>
      <c r="I14" s="135">
        <f t="shared" si="3"/>
        <v>1.5719373219373218</v>
      </c>
      <c r="J14" s="135">
        <f t="shared" si="3"/>
        <v>1.5719373219373218</v>
      </c>
      <c r="K14" s="135">
        <f t="shared" si="3"/>
        <v>1.5719373219373218</v>
      </c>
      <c r="L14" s="74" t="s">
        <v>199</v>
      </c>
    </row>
    <row r="15" spans="1:12" ht="15" customHeight="1" x14ac:dyDescent="0.2">
      <c r="A15" s="184"/>
      <c r="B15" s="183" t="s">
        <v>76</v>
      </c>
      <c r="C15" s="60">
        <f>C13-C11</f>
        <v>953886004.25</v>
      </c>
      <c r="D15" s="60">
        <f>D13-D11</f>
        <v>974328341.75</v>
      </c>
      <c r="E15" s="60">
        <f>E13-E11</f>
        <v>1019668496.75</v>
      </c>
      <c r="F15" s="60">
        <f>F13-F11</f>
        <v>984082126.75</v>
      </c>
      <c r="G15" s="60">
        <f>G13-G11</f>
        <v>1014254674.25</v>
      </c>
      <c r="H15" s="56">
        <f>D15-C15</f>
        <v>20442337.5</v>
      </c>
      <c r="I15" s="17">
        <f>E15-C15</f>
        <v>65782492.5</v>
      </c>
      <c r="J15" s="17">
        <f>F15-C15</f>
        <v>30196122.5</v>
      </c>
      <c r="K15" s="17">
        <f>G15-C15</f>
        <v>60368670</v>
      </c>
    </row>
    <row r="16" spans="1:12" ht="14.25" customHeight="1" x14ac:dyDescent="0.2">
      <c r="B16" s="138"/>
      <c r="C16" s="170" t="s">
        <v>144</v>
      </c>
      <c r="D16" s="164"/>
      <c r="E16" s="164"/>
      <c r="F16" s="164"/>
      <c r="G16" s="165"/>
      <c r="H16" s="166" t="s">
        <v>183</v>
      </c>
      <c r="I16" s="167"/>
      <c r="J16" s="167"/>
      <c r="K16" s="168"/>
    </row>
    <row r="17" spans="1:12" ht="104.25" customHeight="1" x14ac:dyDescent="0.2">
      <c r="B17" s="185" t="s">
        <v>209</v>
      </c>
      <c r="C17" s="57" t="s">
        <v>111</v>
      </c>
      <c r="D17" s="57" t="s">
        <v>110</v>
      </c>
      <c r="E17" s="57" t="s">
        <v>69</v>
      </c>
      <c r="F17" s="57" t="s">
        <v>70</v>
      </c>
      <c r="G17" s="57" t="s">
        <v>71</v>
      </c>
      <c r="H17" s="129" t="s">
        <v>110</v>
      </c>
      <c r="I17" s="129" t="s">
        <v>69</v>
      </c>
      <c r="J17" s="129" t="s">
        <v>70</v>
      </c>
      <c r="K17" s="129" t="s">
        <v>71</v>
      </c>
    </row>
    <row r="18" spans="1:12" x14ac:dyDescent="0.2">
      <c r="B18" s="183" t="str">
        <f>'Qualitative Analysis'!A27</f>
        <v>General barriers to use/adoption (Average of three main scores)</v>
      </c>
      <c r="C18" s="148">
        <f>'Qualitative Analysis'!B27</f>
        <v>-1</v>
      </c>
      <c r="D18" s="148">
        <f>'Qualitative Analysis'!C27</f>
        <v>-1</v>
      </c>
      <c r="E18" s="148">
        <f>'Qualitative Analysis'!D27</f>
        <v>-0.66666666666666663</v>
      </c>
      <c r="F18" s="148">
        <f>'Qualitative Analysis'!E27</f>
        <v>-1</v>
      </c>
      <c r="G18" s="148">
        <f>'Qualitative Analysis'!F27</f>
        <v>0</v>
      </c>
      <c r="H18" s="149">
        <f t="shared" ref="H18:K24" si="4">D18-$C18</f>
        <v>0</v>
      </c>
      <c r="I18" s="149">
        <f t="shared" si="4"/>
        <v>0.33333333333333337</v>
      </c>
      <c r="J18" s="149">
        <f t="shared" si="4"/>
        <v>0</v>
      </c>
      <c r="K18" s="149">
        <f t="shared" si="4"/>
        <v>1</v>
      </c>
    </row>
    <row r="19" spans="1:12" x14ac:dyDescent="0.2">
      <c r="B19" s="183" t="str">
        <f>'Qualitative Analysis'!A28</f>
        <v>Equity Score (Average of all equity scores)</v>
      </c>
      <c r="C19" s="148">
        <f>'Qualitative Analysis'!B28</f>
        <v>-0.91666666666666663</v>
      </c>
      <c r="D19" s="148">
        <f>'Qualitative Analysis'!C28</f>
        <v>-0.25</v>
      </c>
      <c r="E19" s="148">
        <f>'Qualitative Analysis'!D28</f>
        <v>-0.25</v>
      </c>
      <c r="F19" s="148">
        <f>'Qualitative Analysis'!E28</f>
        <v>-0.25</v>
      </c>
      <c r="G19" s="148">
        <f>'Qualitative Analysis'!F28</f>
        <v>0</v>
      </c>
      <c r="H19" s="149">
        <f t="shared" si="4"/>
        <v>0.66666666666666663</v>
      </c>
      <c r="I19" s="149">
        <f t="shared" si="4"/>
        <v>0.66666666666666663</v>
      </c>
      <c r="J19" s="149">
        <f t="shared" si="4"/>
        <v>0.66666666666666663</v>
      </c>
      <c r="K19" s="149">
        <f t="shared" si="4"/>
        <v>0.91666666666666663</v>
      </c>
    </row>
    <row r="20" spans="1:12" x14ac:dyDescent="0.2">
      <c r="B20" s="183" t="str">
        <f>'Qualitative Analysis'!A29</f>
        <v>Racial Disparities?</v>
      </c>
      <c r="C20" s="148">
        <f>'Qualitative Analysis'!B29</f>
        <v>-0.66666666666666663</v>
      </c>
      <c r="D20" s="148">
        <f>'Qualitative Analysis'!C29</f>
        <v>0</v>
      </c>
      <c r="E20" s="148">
        <f>'Qualitative Analysis'!D29</f>
        <v>0</v>
      </c>
      <c r="F20" s="148">
        <f>'Qualitative Analysis'!E29</f>
        <v>0</v>
      </c>
      <c r="G20" s="148">
        <f>'Qualitative Analysis'!F29</f>
        <v>0</v>
      </c>
      <c r="H20" s="149">
        <f t="shared" si="4"/>
        <v>0.66666666666666663</v>
      </c>
      <c r="I20" s="149">
        <f t="shared" si="4"/>
        <v>0.66666666666666663</v>
      </c>
      <c r="J20" s="149">
        <f t="shared" si="4"/>
        <v>0.66666666666666663</v>
      </c>
      <c r="K20" s="149">
        <f t="shared" si="4"/>
        <v>0.66666666666666663</v>
      </c>
    </row>
    <row r="21" spans="1:12" x14ac:dyDescent="0.2">
      <c r="B21" s="183" t="str">
        <f>'Qualitative Analysis'!A30</f>
        <v>Age Disparities?</v>
      </c>
      <c r="C21" s="148">
        <f>'Qualitative Analysis'!B30</f>
        <v>-1.6666666666666667</v>
      </c>
      <c r="D21" s="148">
        <f>'Qualitative Analysis'!C30</f>
        <v>-0.66666666666666663</v>
      </c>
      <c r="E21" s="148">
        <f>'Qualitative Analysis'!D30</f>
        <v>-0.66666666666666663</v>
      </c>
      <c r="F21" s="148">
        <f>'Qualitative Analysis'!E30</f>
        <v>-0.66666666666666663</v>
      </c>
      <c r="G21" s="148">
        <f>'Qualitative Analysis'!F30</f>
        <v>0</v>
      </c>
      <c r="H21" s="149">
        <f t="shared" si="4"/>
        <v>1</v>
      </c>
      <c r="I21" s="149">
        <f t="shared" si="4"/>
        <v>1</v>
      </c>
      <c r="J21" s="149">
        <f t="shared" si="4"/>
        <v>1</v>
      </c>
      <c r="K21" s="149">
        <f t="shared" si="4"/>
        <v>1.6666666666666667</v>
      </c>
    </row>
    <row r="22" spans="1:12" s="43" customFormat="1" x14ac:dyDescent="0.2">
      <c r="A22" s="50"/>
      <c r="B22" s="183" t="str">
        <f>'Qualitative Analysis'!A31</f>
        <v>Income Disparities?</v>
      </c>
      <c r="C22" s="148">
        <f>'Qualitative Analysis'!B31</f>
        <v>-1</v>
      </c>
      <c r="D22" s="148">
        <f>'Qualitative Analysis'!C31</f>
        <v>-0.33333333333333331</v>
      </c>
      <c r="E22" s="148">
        <f>'Qualitative Analysis'!D31</f>
        <v>-0.33333333333333331</v>
      </c>
      <c r="F22" s="148">
        <f>'Qualitative Analysis'!E31</f>
        <v>-0.33333333333333331</v>
      </c>
      <c r="G22" s="148">
        <f>'Qualitative Analysis'!F31</f>
        <v>0</v>
      </c>
      <c r="H22" s="149">
        <f t="shared" si="4"/>
        <v>0.66666666666666674</v>
      </c>
      <c r="I22" s="149">
        <f t="shared" si="4"/>
        <v>0.66666666666666674</v>
      </c>
      <c r="J22" s="149">
        <f t="shared" si="4"/>
        <v>0.66666666666666674</v>
      </c>
      <c r="K22" s="149">
        <f t="shared" si="4"/>
        <v>1</v>
      </c>
    </row>
    <row r="23" spans="1:12" s="43" customFormat="1" x14ac:dyDescent="0.25">
      <c r="A23" s="50"/>
      <c r="B23" s="183" t="str">
        <f>'Qualitative Analysis'!A32</f>
        <v>Language Disparities?</v>
      </c>
      <c r="C23" s="148">
        <f>'Qualitative Analysis'!B32</f>
        <v>-0.33333333333333331</v>
      </c>
      <c r="D23" s="148">
        <f>'Qualitative Analysis'!C32</f>
        <v>0</v>
      </c>
      <c r="E23" s="148">
        <f>'Qualitative Analysis'!D32</f>
        <v>0</v>
      </c>
      <c r="F23" s="148">
        <f>'Qualitative Analysis'!E32</f>
        <v>0</v>
      </c>
      <c r="G23" s="148">
        <f>'Qualitative Analysis'!F32</f>
        <v>0</v>
      </c>
      <c r="H23" s="149">
        <f t="shared" si="4"/>
        <v>0.33333333333333331</v>
      </c>
      <c r="I23" s="149">
        <f t="shared" si="4"/>
        <v>0.33333333333333331</v>
      </c>
      <c r="J23" s="149">
        <f t="shared" si="4"/>
        <v>0.33333333333333331</v>
      </c>
      <c r="K23" s="149">
        <f t="shared" si="4"/>
        <v>0.33333333333333331</v>
      </c>
      <c r="L23" s="45"/>
    </row>
    <row r="24" spans="1:12" s="43" customFormat="1" x14ac:dyDescent="0.25">
      <c r="A24" s="50"/>
      <c r="B24" s="183" t="str">
        <f>'Qualitative Analysis'!A33</f>
        <v>Overall Average of All Scores</v>
      </c>
      <c r="C24" s="148">
        <f>'Qualitative Analysis'!B33</f>
        <v>-0.93333333333333335</v>
      </c>
      <c r="D24" s="148">
        <f>'Qualitative Analysis'!C33</f>
        <v>-0.4</v>
      </c>
      <c r="E24" s="148">
        <f>'Qualitative Analysis'!D33</f>
        <v>-0.33333333333333331</v>
      </c>
      <c r="F24" s="148">
        <f>'Qualitative Analysis'!E33</f>
        <v>-0.4</v>
      </c>
      <c r="G24" s="148">
        <f>'Qualitative Analysis'!F33</f>
        <v>0</v>
      </c>
      <c r="H24" s="149">
        <f t="shared" si="4"/>
        <v>0.53333333333333333</v>
      </c>
      <c r="I24" s="149">
        <f t="shared" si="4"/>
        <v>0.60000000000000009</v>
      </c>
      <c r="J24" s="149">
        <f t="shared" si="4"/>
        <v>0.53333333333333333</v>
      </c>
      <c r="K24" s="149">
        <f t="shared" si="4"/>
        <v>0.93333333333333335</v>
      </c>
      <c r="L24" s="44"/>
    </row>
    <row r="25" spans="1:12" s="43" customFormat="1" x14ac:dyDescent="0.25">
      <c r="A25" s="50"/>
      <c r="B25" s="50"/>
      <c r="C25"/>
      <c r="D25" s="44"/>
      <c r="E25" s="44"/>
      <c r="F25" s="44"/>
      <c r="G25" s="44"/>
      <c r="H25" s="46"/>
      <c r="I25" s="46"/>
      <c r="J25" s="46"/>
      <c r="K25" s="46"/>
      <c r="L25" s="46"/>
    </row>
    <row r="26" spans="1:12" s="43" customFormat="1" x14ac:dyDescent="0.25">
      <c r="A26" s="50"/>
      <c r="B26" s="50"/>
      <c r="C26"/>
      <c r="D26" s="46"/>
      <c r="E26" s="46"/>
      <c r="F26" s="46"/>
      <c r="G26" s="46"/>
      <c r="H26" s="46"/>
      <c r="I26" s="46"/>
      <c r="J26" s="46"/>
      <c r="K26" s="46"/>
      <c r="L26" s="46"/>
    </row>
    <row r="27" spans="1:12" s="43" customFormat="1" x14ac:dyDescent="0.25">
      <c r="A27" s="50"/>
      <c r="B27" s="50"/>
      <c r="C27"/>
      <c r="D27" s="46"/>
      <c r="E27" s="46"/>
      <c r="F27" s="46"/>
      <c r="G27" s="46"/>
      <c r="H27" s="44"/>
      <c r="I27" s="44"/>
      <c r="J27" s="44"/>
      <c r="K27" s="44"/>
      <c r="L27" s="44"/>
    </row>
    <row r="28" spans="1:12" s="43" customFormat="1" x14ac:dyDescent="0.25">
      <c r="A28" s="50"/>
      <c r="B28" s="50"/>
      <c r="C28"/>
      <c r="D28" s="44"/>
      <c r="E28" s="44"/>
      <c r="F28" s="44"/>
      <c r="G28" s="44"/>
      <c r="H28" s="46"/>
      <c r="I28" s="46"/>
      <c r="J28" s="46"/>
      <c r="K28" s="46"/>
      <c r="L28" s="46"/>
    </row>
    <row r="29" spans="1:12" s="43" customFormat="1" x14ac:dyDescent="0.25">
      <c r="A29" s="50"/>
      <c r="B29" s="50"/>
      <c r="C29"/>
      <c r="D29" s="46"/>
      <c r="E29" s="46"/>
      <c r="F29" s="46"/>
      <c r="G29" s="46"/>
      <c r="H29" s="46"/>
      <c r="I29" s="46"/>
      <c r="J29" s="46"/>
      <c r="K29" s="46"/>
      <c r="L29" s="46"/>
    </row>
    <row r="30" spans="1:12" s="43" customFormat="1" x14ac:dyDescent="0.25">
      <c r="A30" s="50"/>
      <c r="B30" s="50"/>
      <c r="C30"/>
      <c r="D30" s="46"/>
      <c r="E30" s="46"/>
      <c r="F30" s="46"/>
      <c r="G30" s="46"/>
      <c r="H30" s="44"/>
      <c r="I30" s="44"/>
      <c r="J30" s="44"/>
      <c r="K30" s="44"/>
      <c r="L30" s="44"/>
    </row>
    <row r="31" spans="1:12" s="43" customFormat="1" x14ac:dyDescent="0.25">
      <c r="A31" s="50"/>
      <c r="B31" s="50"/>
      <c r="C31"/>
      <c r="D31" s="44"/>
      <c r="E31" s="44"/>
      <c r="F31" s="44"/>
      <c r="G31" s="44"/>
      <c r="H31" s="46"/>
      <c r="I31" s="46"/>
      <c r="J31" s="46"/>
      <c r="K31" s="46"/>
      <c r="L31" s="46"/>
    </row>
    <row r="32" spans="1:12" s="43" customFormat="1" x14ac:dyDescent="0.25">
      <c r="A32" s="50"/>
      <c r="B32" s="50"/>
      <c r="C32" s="46"/>
      <c r="D32" s="46"/>
      <c r="E32" s="46"/>
      <c r="F32" s="46"/>
      <c r="G32" s="46"/>
      <c r="H32" s="46"/>
      <c r="I32" s="46"/>
      <c r="J32" s="46"/>
      <c r="K32" s="46"/>
      <c r="L32" s="46"/>
    </row>
    <row r="33" spans="1:12" s="43" customFormat="1" x14ac:dyDescent="0.25">
      <c r="A33" s="50"/>
      <c r="B33" s="50"/>
      <c r="C33" s="46"/>
      <c r="D33" s="46"/>
      <c r="E33" s="46"/>
      <c r="F33" s="46"/>
      <c r="G33" s="46"/>
      <c r="H33" s="44"/>
      <c r="I33" s="44"/>
      <c r="J33" s="44"/>
      <c r="K33" s="44"/>
      <c r="L33" s="44"/>
    </row>
    <row r="34" spans="1:12" s="43" customFormat="1" x14ac:dyDescent="0.25">
      <c r="A34" s="50"/>
      <c r="B34" s="50"/>
      <c r="C34" s="44"/>
      <c r="D34" s="44"/>
      <c r="E34" s="44"/>
      <c r="F34" s="44"/>
      <c r="G34" s="44"/>
      <c r="H34" s="46"/>
      <c r="I34" s="46"/>
      <c r="J34" s="46"/>
      <c r="K34" s="46"/>
      <c r="L34" s="46"/>
    </row>
    <row r="35" spans="1:12" s="43" customFormat="1" x14ac:dyDescent="0.25">
      <c r="A35" s="50"/>
      <c r="B35" s="50"/>
      <c r="C35" s="44"/>
      <c r="D35" s="44"/>
      <c r="E35" s="44"/>
      <c r="F35" s="44"/>
      <c r="G35" s="44"/>
      <c r="H35" s="46"/>
      <c r="I35" s="46"/>
      <c r="J35" s="46"/>
      <c r="K35" s="46"/>
      <c r="L35" s="46"/>
    </row>
    <row r="36" spans="1:12" s="43" customFormat="1" x14ac:dyDescent="0.25">
      <c r="A36" s="50"/>
      <c r="B36" s="50"/>
      <c r="C36" s="46"/>
      <c r="D36" s="46"/>
      <c r="E36" s="46"/>
      <c r="F36" s="46"/>
      <c r="G36" s="46"/>
      <c r="H36" s="44"/>
      <c r="I36" s="44"/>
      <c r="J36" s="44"/>
      <c r="K36" s="44"/>
      <c r="L36" s="44"/>
    </row>
    <row r="37" spans="1:12" s="43" customFormat="1" x14ac:dyDescent="0.25">
      <c r="A37" s="50"/>
      <c r="B37" s="50"/>
      <c r="C37" s="46"/>
      <c r="D37" s="46"/>
      <c r="E37" s="46"/>
      <c r="F37" s="46"/>
      <c r="G37" s="46"/>
      <c r="H37" s="44"/>
      <c r="I37" s="44"/>
      <c r="J37" s="44"/>
      <c r="K37" s="44"/>
      <c r="L37" s="44"/>
    </row>
    <row r="38" spans="1:12" s="43" customFormat="1" x14ac:dyDescent="0.25">
      <c r="A38" s="50"/>
      <c r="B38" s="50"/>
      <c r="C38" s="44"/>
      <c r="D38" s="44"/>
      <c r="E38" s="44"/>
      <c r="F38" s="44"/>
      <c r="G38" s="44"/>
      <c r="H38" s="46"/>
      <c r="I38" s="46"/>
      <c r="J38" s="46"/>
      <c r="K38" s="46"/>
      <c r="L38" s="46"/>
    </row>
    <row r="39" spans="1:12" s="43" customFormat="1" x14ac:dyDescent="0.25">
      <c r="A39" s="50"/>
      <c r="B39" s="50"/>
      <c r="C39" s="46"/>
      <c r="D39" s="46"/>
      <c r="E39" s="46"/>
      <c r="F39" s="46"/>
      <c r="G39" s="46"/>
      <c r="H39" s="46"/>
      <c r="I39" s="46"/>
      <c r="J39" s="46"/>
      <c r="K39" s="46"/>
      <c r="L39" s="46"/>
    </row>
    <row r="40" spans="1:12" s="43" customFormat="1" x14ac:dyDescent="0.25">
      <c r="A40" s="50"/>
      <c r="B40" s="50"/>
      <c r="C40" s="46"/>
      <c r="D40" s="46"/>
      <c r="E40" s="46"/>
      <c r="F40" s="46"/>
      <c r="G40" s="46"/>
      <c r="H40" s="44"/>
      <c r="I40" s="44"/>
      <c r="J40" s="44"/>
      <c r="K40" s="44"/>
      <c r="L40" s="44"/>
    </row>
    <row r="41" spans="1:12" s="43" customFormat="1" x14ac:dyDescent="0.25">
      <c r="A41" s="50"/>
      <c r="B41" s="50"/>
      <c r="C41" s="44"/>
      <c r="D41" s="44"/>
      <c r="E41" s="44"/>
      <c r="F41" s="44"/>
      <c r="G41" s="44"/>
      <c r="H41" s="46"/>
      <c r="I41" s="46"/>
      <c r="J41" s="46"/>
      <c r="K41" s="46"/>
      <c r="L41" s="46"/>
    </row>
    <row r="42" spans="1:12" s="43" customFormat="1" x14ac:dyDescent="0.25">
      <c r="A42" s="50"/>
      <c r="B42" s="50"/>
      <c r="C42" s="46"/>
      <c r="D42" s="46"/>
      <c r="E42" s="46"/>
      <c r="F42" s="46"/>
      <c r="G42" s="46"/>
      <c r="H42" s="46"/>
      <c r="I42" s="46"/>
      <c r="J42" s="46"/>
      <c r="K42" s="46"/>
      <c r="L42" s="46"/>
    </row>
    <row r="43" spans="1:12" s="43" customFormat="1" x14ac:dyDescent="0.25">
      <c r="A43" s="50"/>
      <c r="B43" s="50"/>
      <c r="C43" s="46"/>
      <c r="D43" s="46"/>
      <c r="E43" s="46"/>
      <c r="F43" s="46"/>
      <c r="G43" s="46"/>
      <c r="H43" s="44"/>
      <c r="I43" s="44"/>
      <c r="J43" s="44"/>
      <c r="K43" s="44"/>
      <c r="L43" s="44"/>
    </row>
    <row r="44" spans="1:12" s="43" customFormat="1" x14ac:dyDescent="0.25">
      <c r="A44" s="50"/>
      <c r="B44" s="50"/>
      <c r="C44" s="44"/>
      <c r="D44" s="44"/>
      <c r="E44" s="44"/>
      <c r="F44" s="44"/>
      <c r="G44" s="44"/>
      <c r="H44" s="46"/>
      <c r="I44" s="46"/>
      <c r="J44" s="46"/>
      <c r="K44" s="46"/>
      <c r="L44" s="46"/>
    </row>
    <row r="45" spans="1:12" s="43" customFormat="1" x14ac:dyDescent="0.25">
      <c r="A45" s="50"/>
      <c r="B45" s="50"/>
      <c r="C45" s="46"/>
      <c r="D45" s="46"/>
      <c r="E45" s="46"/>
      <c r="F45" s="46"/>
      <c r="G45" s="46"/>
      <c r="H45" s="46"/>
      <c r="I45" s="46"/>
      <c r="J45" s="46"/>
      <c r="K45" s="46"/>
      <c r="L45" s="46"/>
    </row>
    <row r="46" spans="1:12" s="43" customFormat="1" x14ac:dyDescent="0.25">
      <c r="A46" s="50"/>
      <c r="B46" s="50"/>
      <c r="C46" s="46"/>
      <c r="D46" s="46"/>
      <c r="E46" s="46"/>
      <c r="F46" s="46"/>
      <c r="G46" s="46"/>
      <c r="H46" s="44"/>
      <c r="I46" s="44"/>
      <c r="J46" s="44"/>
      <c r="K46" s="44"/>
      <c r="L46" s="44"/>
    </row>
    <row r="47" spans="1:12" s="43" customFormat="1" x14ac:dyDescent="0.25">
      <c r="A47" s="50"/>
      <c r="B47" s="50"/>
      <c r="H47" s="46"/>
      <c r="I47" s="46"/>
      <c r="J47" s="46"/>
      <c r="K47" s="46"/>
      <c r="L47" s="46"/>
    </row>
    <row r="48" spans="1:12" s="43" customFormat="1" x14ac:dyDescent="0.25">
      <c r="A48" s="50"/>
      <c r="B48" s="50"/>
      <c r="G48" s="46"/>
      <c r="H48" s="46"/>
      <c r="I48" s="46"/>
      <c r="J48" s="46"/>
      <c r="K48" s="46"/>
      <c r="L48" s="46"/>
    </row>
    <row r="49" spans="1:10" s="43" customFormat="1" x14ac:dyDescent="0.25">
      <c r="A49" s="50"/>
      <c r="B49" s="186"/>
      <c r="C49" s="46"/>
      <c r="D49" s="46"/>
      <c r="E49" s="46"/>
      <c r="F49" s="46"/>
      <c r="G49" s="46"/>
    </row>
    <row r="50" spans="1:10" s="43" customFormat="1" x14ac:dyDescent="0.25">
      <c r="A50" s="50"/>
      <c r="B50" s="186"/>
      <c r="C50" s="46"/>
      <c r="D50" s="46"/>
      <c r="E50" s="46"/>
      <c r="F50" s="46"/>
      <c r="G50" s="46"/>
      <c r="H50" s="46"/>
      <c r="I50" s="46"/>
      <c r="J50" s="46"/>
    </row>
    <row r="51" spans="1:10" s="43" customFormat="1" x14ac:dyDescent="0.25">
      <c r="A51" s="186"/>
      <c r="B51" s="186"/>
      <c r="C51" s="46"/>
      <c r="D51" s="46"/>
      <c r="E51" s="46"/>
      <c r="F51" s="46"/>
      <c r="G51" s="46"/>
      <c r="H51" s="46"/>
      <c r="I51" s="46"/>
      <c r="J51" s="46"/>
    </row>
    <row r="52" spans="1:10" s="43" customFormat="1" x14ac:dyDescent="0.25">
      <c r="A52" s="186"/>
      <c r="B52" s="186"/>
      <c r="C52" s="46"/>
      <c r="D52" s="46"/>
      <c r="E52" s="46"/>
      <c r="F52" s="46"/>
      <c r="G52" s="46"/>
      <c r="H52" s="46"/>
      <c r="I52" s="46"/>
      <c r="J52" s="46"/>
    </row>
    <row r="53" spans="1:10" s="43" customFormat="1" x14ac:dyDescent="0.25">
      <c r="A53" s="186"/>
      <c r="B53" s="186"/>
      <c r="C53" s="46"/>
      <c r="D53" s="46"/>
      <c r="E53" s="46"/>
      <c r="F53" s="46"/>
      <c r="G53" s="46"/>
      <c r="H53" s="46"/>
      <c r="I53" s="46"/>
      <c r="J53" s="46"/>
    </row>
    <row r="54" spans="1:10" s="43" customFormat="1" x14ac:dyDescent="0.25">
      <c r="A54" s="186"/>
      <c r="B54" s="186"/>
      <c r="C54" s="46"/>
      <c r="D54" s="46"/>
      <c r="E54" s="46"/>
      <c r="F54" s="46"/>
      <c r="G54" s="46"/>
      <c r="H54" s="46"/>
      <c r="I54" s="46"/>
      <c r="J54" s="46"/>
    </row>
    <row r="55" spans="1:10" s="43" customFormat="1" x14ac:dyDescent="0.25">
      <c r="A55" s="186"/>
      <c r="B55" s="186"/>
      <c r="C55" s="46"/>
      <c r="D55" s="46"/>
      <c r="E55" s="46"/>
      <c r="F55" s="46"/>
      <c r="G55" s="46"/>
      <c r="H55" s="46"/>
      <c r="I55" s="46"/>
      <c r="J55" s="46"/>
    </row>
    <row r="56" spans="1:10" s="43" customFormat="1" x14ac:dyDescent="0.25">
      <c r="A56" s="186"/>
      <c r="B56" s="186"/>
      <c r="C56" s="46"/>
      <c r="D56" s="46"/>
      <c r="E56" s="46"/>
      <c r="F56" s="46"/>
      <c r="G56" s="46"/>
      <c r="H56" s="46"/>
      <c r="I56" s="46"/>
      <c r="J56" s="46"/>
    </row>
    <row r="57" spans="1:10" s="43" customFormat="1" x14ac:dyDescent="0.25">
      <c r="A57" s="186"/>
      <c r="B57" s="186"/>
      <c r="C57" s="46"/>
      <c r="D57" s="46"/>
      <c r="E57" s="46"/>
      <c r="F57" s="46"/>
      <c r="G57" s="46"/>
      <c r="H57" s="46"/>
      <c r="I57" s="46"/>
      <c r="J57" s="46"/>
    </row>
    <row r="58" spans="1:10" s="43" customFormat="1" x14ac:dyDescent="0.25">
      <c r="A58" s="186"/>
      <c r="B58" s="186"/>
      <c r="C58" s="46"/>
      <c r="D58" s="46"/>
      <c r="E58" s="46"/>
      <c r="F58" s="46"/>
      <c r="G58" s="46"/>
      <c r="H58" s="46"/>
      <c r="I58" s="46"/>
      <c r="J58" s="46"/>
    </row>
    <row r="59" spans="1:10" s="43" customFormat="1" x14ac:dyDescent="0.25">
      <c r="A59" s="186"/>
      <c r="B59" s="186"/>
      <c r="C59" s="46"/>
      <c r="D59" s="46"/>
      <c r="E59" s="46"/>
      <c r="F59" s="46"/>
      <c r="G59" s="46"/>
      <c r="H59" s="46"/>
      <c r="I59" s="46"/>
      <c r="J59" s="46"/>
    </row>
    <row r="60" spans="1:10" s="43" customFormat="1" x14ac:dyDescent="0.25">
      <c r="A60" s="186"/>
      <c r="B60" s="186"/>
      <c r="C60" s="46"/>
      <c r="D60" s="46"/>
      <c r="E60" s="46"/>
      <c r="F60" s="46"/>
      <c r="G60" s="46"/>
      <c r="H60" s="46"/>
      <c r="I60" s="46"/>
      <c r="J60" s="46"/>
    </row>
    <row r="61" spans="1:10" s="43" customFormat="1" x14ac:dyDescent="0.25">
      <c r="A61" s="186"/>
      <c r="B61" s="186"/>
      <c r="C61" s="46"/>
      <c r="D61" s="46"/>
      <c r="E61" s="46"/>
      <c r="F61" s="46"/>
      <c r="G61" s="46"/>
      <c r="H61" s="46"/>
      <c r="I61" s="46"/>
      <c r="J61" s="46"/>
    </row>
    <row r="62" spans="1:10" s="43" customFormat="1" x14ac:dyDescent="0.25">
      <c r="A62" s="186"/>
      <c r="B62" s="186"/>
      <c r="C62" s="46"/>
      <c r="D62" s="46"/>
      <c r="E62" s="46"/>
      <c r="F62" s="46"/>
      <c r="G62" s="46"/>
      <c r="H62" s="46"/>
      <c r="I62" s="46"/>
      <c r="J62" s="46"/>
    </row>
    <row r="63" spans="1:10" s="43" customFormat="1" x14ac:dyDescent="0.25">
      <c r="A63" s="186"/>
      <c r="B63" s="186"/>
      <c r="C63" s="46"/>
      <c r="D63" s="46"/>
      <c r="E63" s="46"/>
      <c r="F63" s="46"/>
      <c r="G63" s="46"/>
      <c r="H63" s="46"/>
      <c r="I63" s="46"/>
      <c r="J63" s="46"/>
    </row>
    <row r="64" spans="1:10" s="43" customFormat="1" x14ac:dyDescent="0.25">
      <c r="A64" s="186"/>
      <c r="B64" s="186"/>
      <c r="C64" s="46"/>
      <c r="D64" s="46"/>
      <c r="E64" s="46"/>
      <c r="F64" s="46"/>
      <c r="G64" s="46"/>
      <c r="H64" s="46"/>
      <c r="I64" s="46"/>
      <c r="J64" s="46"/>
    </row>
    <row r="65" spans="1:10" s="43" customFormat="1" x14ac:dyDescent="0.25">
      <c r="A65" s="186"/>
      <c r="B65" s="186"/>
      <c r="C65" s="46"/>
      <c r="D65" s="46"/>
      <c r="E65" s="46"/>
      <c r="F65" s="46"/>
      <c r="G65" s="46"/>
      <c r="H65" s="46"/>
      <c r="I65" s="46"/>
      <c r="J65" s="46"/>
    </row>
    <row r="66" spans="1:10" s="43" customFormat="1" x14ac:dyDescent="0.25">
      <c r="A66" s="186"/>
      <c r="B66" s="138"/>
      <c r="G66" s="46"/>
      <c r="H66" s="46"/>
      <c r="I66" s="46"/>
      <c r="J66" s="46"/>
    </row>
    <row r="67" spans="1:10" s="43" customFormat="1" x14ac:dyDescent="0.25">
      <c r="A67" s="186"/>
      <c r="B67" s="138"/>
      <c r="G67" s="46"/>
      <c r="H67" s="46"/>
      <c r="I67" s="46"/>
      <c r="J67" s="46"/>
    </row>
    <row r="68" spans="1:10" s="43" customFormat="1" x14ac:dyDescent="0.25">
      <c r="A68" s="138"/>
      <c r="B68" s="138"/>
      <c r="G68" s="46"/>
      <c r="H68" s="46"/>
      <c r="I68" s="46"/>
      <c r="J68" s="46"/>
    </row>
    <row r="69" spans="1:10" s="43" customFormat="1" x14ac:dyDescent="0.25">
      <c r="A69" s="138"/>
      <c r="B69" s="138"/>
      <c r="G69" s="46"/>
      <c r="H69" s="46"/>
      <c r="I69" s="46"/>
      <c r="J69" s="46"/>
    </row>
    <row r="70" spans="1:10" s="43" customFormat="1" x14ac:dyDescent="0.25">
      <c r="A70" s="138"/>
      <c r="B70" s="138"/>
      <c r="G70" s="46"/>
      <c r="H70" s="46"/>
      <c r="I70" s="46"/>
      <c r="J70" s="46"/>
    </row>
    <row r="71" spans="1:10" s="43" customFormat="1" x14ac:dyDescent="0.25">
      <c r="A71" s="138"/>
      <c r="B71" s="138"/>
      <c r="G71" s="46"/>
      <c r="H71" s="46"/>
      <c r="I71" s="46"/>
      <c r="J71" s="46"/>
    </row>
    <row r="72" spans="1:10" s="43" customFormat="1" x14ac:dyDescent="0.25">
      <c r="A72" s="138"/>
      <c r="B72" s="138"/>
      <c r="H72" s="46"/>
      <c r="I72" s="46"/>
      <c r="J72" s="46"/>
    </row>
    <row r="73" spans="1:10" s="43" customFormat="1" x14ac:dyDescent="0.25">
      <c r="A73" s="138"/>
      <c r="B73" s="138"/>
      <c r="H73" s="46"/>
      <c r="I73" s="46"/>
      <c r="J73" s="46"/>
    </row>
    <row r="74" spans="1:10" s="43" customFormat="1" ht="14.25" x14ac:dyDescent="0.2">
      <c r="A74" s="138"/>
      <c r="B74" s="138"/>
    </row>
    <row r="75" spans="1:10" s="43" customFormat="1" ht="14.25" x14ac:dyDescent="0.2">
      <c r="A75" s="138"/>
      <c r="B75" s="138"/>
    </row>
    <row r="76" spans="1:10" s="43" customFormat="1" ht="14.25" x14ac:dyDescent="0.2">
      <c r="A76" s="138"/>
      <c r="B76" s="138"/>
    </row>
    <row r="77" spans="1:10" s="43" customFormat="1" ht="14.25" x14ac:dyDescent="0.2">
      <c r="A77" s="138"/>
      <c r="B77" s="138"/>
    </row>
    <row r="78" spans="1:10" s="43" customFormat="1" ht="14.25" x14ac:dyDescent="0.2">
      <c r="A78" s="138"/>
      <c r="B78" s="138"/>
    </row>
    <row r="79" spans="1:10" s="43" customFormat="1" ht="14.25" x14ac:dyDescent="0.2">
      <c r="A79" s="138"/>
      <c r="B79" s="138"/>
    </row>
    <row r="80" spans="1:10" s="43" customFormat="1" ht="14.25" x14ac:dyDescent="0.2">
      <c r="A80" s="138"/>
      <c r="B80" s="138"/>
    </row>
    <row r="81" spans="1:10" s="43" customFormat="1" ht="14.25" x14ac:dyDescent="0.2">
      <c r="A81" s="138"/>
      <c r="B81" s="138"/>
    </row>
    <row r="82" spans="1:10" s="43" customFormat="1" ht="14.25" x14ac:dyDescent="0.2">
      <c r="A82" s="138"/>
      <c r="B82" s="138"/>
    </row>
    <row r="83" spans="1:10" s="43" customFormat="1" ht="14.25" x14ac:dyDescent="0.2">
      <c r="A83" s="138"/>
      <c r="B83" s="138"/>
    </row>
    <row r="84" spans="1:10" s="43" customFormat="1" ht="14.25" x14ac:dyDescent="0.2">
      <c r="A84" s="138"/>
      <c r="B84" s="138"/>
    </row>
    <row r="85" spans="1:10" s="43" customFormat="1" ht="14.25" x14ac:dyDescent="0.2">
      <c r="A85" s="138"/>
      <c r="B85" s="138"/>
    </row>
    <row r="86" spans="1:10" s="43" customFormat="1" ht="15" customHeight="1" x14ac:dyDescent="0.2">
      <c r="A86" s="138"/>
      <c r="B86" s="50"/>
      <c r="C86"/>
      <c r="D86"/>
      <c r="E86"/>
      <c r="F86"/>
    </row>
    <row r="87" spans="1:10" s="43" customFormat="1" ht="15" customHeight="1" x14ac:dyDescent="0.2">
      <c r="A87" s="138"/>
      <c r="B87" s="50"/>
      <c r="C87"/>
      <c r="D87"/>
      <c r="E87"/>
      <c r="F87"/>
    </row>
    <row r="88" spans="1:10" ht="15" customHeight="1" x14ac:dyDescent="0.2">
      <c r="G88" s="43"/>
      <c r="H88" s="43"/>
      <c r="I88" s="43"/>
      <c r="J88" s="43"/>
    </row>
    <row r="89" spans="1:10" ht="15" customHeight="1" x14ac:dyDescent="0.2">
      <c r="G89" s="43"/>
      <c r="H89" s="43"/>
      <c r="I89" s="43"/>
      <c r="J89" s="43"/>
    </row>
    <row r="90" spans="1:10" ht="15" customHeight="1" x14ac:dyDescent="0.2">
      <c r="H90" s="43"/>
      <c r="I90" s="43"/>
      <c r="J90" s="43"/>
    </row>
    <row r="91" spans="1:10" ht="15" customHeight="1" x14ac:dyDescent="0.2">
      <c r="H91" s="43"/>
      <c r="I91" s="43"/>
      <c r="J91" s="43"/>
    </row>
  </sheetData>
  <mergeCells count="6">
    <mergeCell ref="C3:G3"/>
    <mergeCell ref="H3:K3"/>
    <mergeCell ref="A6:A10"/>
    <mergeCell ref="A11:A15"/>
    <mergeCell ref="H16:K16"/>
    <mergeCell ref="C16:G16"/>
  </mergeCells>
  <conditionalFormatting sqref="C32:G46 D25:G31 H25:L48 L24">
    <cfRule type="colorScale" priority="19">
      <colorScale>
        <cfvo type="formula" val="0"/>
        <cfvo type="max"/>
        <color rgb="FFFFFFFF"/>
        <color rgb="FF57BB8A"/>
      </colorScale>
    </cfRule>
  </conditionalFormatting>
  <conditionalFormatting sqref="G48:G73 H50:J75">
    <cfRule type="colorScale" priority="17">
      <colorScale>
        <cfvo type="formula" val="0"/>
        <cfvo type="max"/>
        <color rgb="FFFFFFFF"/>
        <color rgb="FF57BB8A"/>
      </colorScale>
    </cfRule>
  </conditionalFormatting>
  <conditionalFormatting sqref="B49:F65 A51:A67">
    <cfRule type="colorScale" priority="22">
      <colorScale>
        <cfvo type="formula" val="0"/>
        <cfvo type="max"/>
        <color rgb="FFFFFFFF"/>
        <color rgb="FF57BB8A"/>
      </colorScale>
    </cfRule>
  </conditionalFormatting>
  <conditionalFormatting sqref="C7:G7">
    <cfRule type="colorScale" priority="12">
      <colorScale>
        <cfvo type="min"/>
        <cfvo type="percentile" val="50"/>
        <cfvo type="max"/>
        <color rgb="FF63BE7B"/>
        <color rgb="FFFFEB84"/>
        <color rgb="FFF8696B"/>
      </colorScale>
    </cfRule>
  </conditionalFormatting>
  <conditionalFormatting sqref="H7:K7">
    <cfRule type="colorScale" priority="11">
      <colorScale>
        <cfvo type="min"/>
        <cfvo type="percentile" val="50"/>
        <cfvo type="max"/>
        <color rgb="FF63BE7B"/>
        <color rgb="FFFFEB84"/>
        <color rgb="FFF8696B"/>
      </colorScale>
    </cfRule>
  </conditionalFormatting>
  <conditionalFormatting sqref="C10:G10">
    <cfRule type="colorScale" priority="10">
      <colorScale>
        <cfvo type="min"/>
        <cfvo type="percentile" val="50"/>
        <cfvo type="max"/>
        <color rgb="FFF8696B"/>
        <color rgb="FFFFEB84"/>
        <color rgb="FF63BE7B"/>
      </colorScale>
    </cfRule>
  </conditionalFormatting>
  <conditionalFormatting sqref="H10:K10">
    <cfRule type="colorScale" priority="9">
      <colorScale>
        <cfvo type="min"/>
        <cfvo type="percentile" val="50"/>
        <cfvo type="max"/>
        <color rgb="FFF8696B"/>
        <color rgb="FFFFEB84"/>
        <color rgb="FF63BE7B"/>
      </colorScale>
    </cfRule>
  </conditionalFormatting>
  <conditionalFormatting sqref="C12:G12">
    <cfRule type="colorScale" priority="8">
      <colorScale>
        <cfvo type="min"/>
        <cfvo type="percentile" val="50"/>
        <cfvo type="max"/>
        <color rgb="FF63BE7B"/>
        <color rgb="FFFFEB84"/>
        <color rgb="FFF8696B"/>
      </colorScale>
    </cfRule>
  </conditionalFormatting>
  <conditionalFormatting sqref="H12:K12">
    <cfRule type="colorScale" priority="7">
      <colorScale>
        <cfvo type="min"/>
        <cfvo type="percentile" val="50"/>
        <cfvo type="max"/>
        <color rgb="FF63BE7B"/>
        <color rgb="FFFFEB84"/>
        <color rgb="FFF8696B"/>
      </colorScale>
    </cfRule>
  </conditionalFormatting>
  <conditionalFormatting sqref="C15:G15">
    <cfRule type="colorScale" priority="6">
      <colorScale>
        <cfvo type="min"/>
        <cfvo type="percentile" val="50"/>
        <cfvo type="max"/>
        <color rgb="FFF8696B"/>
        <color rgb="FFFFEB84"/>
        <color rgb="FF63BE7B"/>
      </colorScale>
    </cfRule>
  </conditionalFormatting>
  <conditionalFormatting sqref="H15:K15">
    <cfRule type="colorScale" priority="5">
      <colorScale>
        <cfvo type="min"/>
        <cfvo type="percentile" val="50"/>
        <cfvo type="max"/>
        <color rgb="FFF8696B"/>
        <color rgb="FFFFEB84"/>
        <color rgb="FF63BE7B"/>
      </colorScale>
    </cfRule>
  </conditionalFormatting>
  <conditionalFormatting sqref="C18:G24">
    <cfRule type="colorScale" priority="4">
      <colorScale>
        <cfvo type="min"/>
        <cfvo type="percentile" val="50"/>
        <cfvo type="max"/>
        <color rgb="FFF8696B"/>
        <color rgb="FFFFEB84"/>
        <color rgb="FF63BE7B"/>
      </colorScale>
    </cfRule>
  </conditionalFormatting>
  <conditionalFormatting sqref="H18:K24">
    <cfRule type="colorScale" priority="3">
      <colorScale>
        <cfvo type="min"/>
        <cfvo type="percentile" val="50"/>
        <cfvo type="max"/>
        <color rgb="FFF8696B"/>
        <color rgb="FFFFEB84"/>
        <color rgb="FF63BE7B"/>
      </colorScale>
    </cfRule>
  </conditionalFormatting>
  <conditionalFormatting sqref="H24:K24">
    <cfRule type="colorScale" priority="2">
      <colorScale>
        <cfvo type="min"/>
        <cfvo type="percentile" val="50"/>
        <cfvo type="max"/>
        <color rgb="FFF8696B"/>
        <color rgb="FFFFEB84"/>
        <color rgb="FF63BE7B"/>
      </colorScale>
    </cfRule>
  </conditionalFormatting>
  <conditionalFormatting sqref="H18:K24">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27"/>
  <sheetViews>
    <sheetView topLeftCell="A85" workbookViewId="0">
      <selection activeCell="M39" sqref="M39"/>
    </sheetView>
  </sheetViews>
  <sheetFormatPr defaultColWidth="12.625" defaultRowHeight="15" customHeight="1" x14ac:dyDescent="0.2"/>
  <cols>
    <col min="1" max="1" width="60.375" customWidth="1"/>
  </cols>
  <sheetData>
    <row r="1" spans="1:12" x14ac:dyDescent="0.25">
      <c r="A1" s="11" t="str">
        <f>'Case &amp; Scenario Parameters'!A19</f>
        <v>Base Case</v>
      </c>
      <c r="B1" s="11" t="str">
        <f>'Case &amp; Scenario Parameters'!B19</f>
        <v>Full service</v>
      </c>
      <c r="C1" s="11" t="str">
        <f>'Case &amp; Scenario Parameters'!C19</f>
        <v>No cash</v>
      </c>
    </row>
    <row r="2" spans="1:12" x14ac:dyDescent="0.25">
      <c r="A2" s="11" t="str">
        <f>'Case &amp; Scenario Parameters'!A20</f>
        <v>Fareboxes</v>
      </c>
      <c r="B2" s="72">
        <f>'Case &amp; Scenario Parameters'!B20</f>
        <v>0</v>
      </c>
      <c r="C2" s="72">
        <f>'Case &amp; Scenario Parameters'!C20</f>
        <v>1</v>
      </c>
    </row>
    <row r="3" spans="1:12" x14ac:dyDescent="0.25">
      <c r="A3" s="11" t="str">
        <f>'Case &amp; Scenario Parameters'!A21</f>
        <v>Ticket Vending Machines</v>
      </c>
      <c r="B3" s="72">
        <f>'Case &amp; Scenario Parameters'!B21</f>
        <v>0</v>
      </c>
      <c r="C3" s="72">
        <f>'Case &amp; Scenario Parameters'!C21</f>
        <v>1</v>
      </c>
    </row>
    <row r="4" spans="1:12" x14ac:dyDescent="0.25">
      <c r="A4" s="11" t="str">
        <f>'Case &amp; Scenario Parameters'!A22</f>
        <v>Share of previous riders able to use system```</v>
      </c>
      <c r="B4" s="72">
        <f>'Case &amp; Scenario Parameters'!B22</f>
        <v>0.9</v>
      </c>
      <c r="C4" s="72">
        <f>'Case &amp; Scenario Parameters'!C22</f>
        <v>0</v>
      </c>
    </row>
    <row r="5" spans="1:12" ht="15" customHeight="1" x14ac:dyDescent="0.25">
      <c r="A5" s="11" t="str">
        <f>'Case &amp; Scenario Parameters'!A23</f>
        <v>Percentage of Revene as Cash Handled by Agency</v>
      </c>
      <c r="B5" s="72">
        <f>'Case &amp; Scenario Parameters'!B23</f>
        <v>0</v>
      </c>
      <c r="C5" s="72">
        <f>'Case &amp; Scenario Parameters'!C23</f>
        <v>0</v>
      </c>
    </row>
    <row r="6" spans="1:12" ht="15" customHeight="1" x14ac:dyDescent="0.25">
      <c r="A6" s="11" t="str">
        <f>'Case &amp; Scenario Parameters'!A24</f>
        <v>Percentage of Revene as Retail</v>
      </c>
      <c r="B6" s="72">
        <f>'Case &amp; Scenario Parameters'!B24</f>
        <v>0</v>
      </c>
      <c r="C6" s="72">
        <f>'Case &amp; Scenario Parameters'!C24</f>
        <v>0</v>
      </c>
    </row>
    <row r="7" spans="1:12" ht="15" customHeight="1" x14ac:dyDescent="0.25">
      <c r="A7" s="9"/>
      <c r="B7" s="9"/>
      <c r="C7" s="9"/>
    </row>
    <row r="8" spans="1:12" x14ac:dyDescent="0.25">
      <c r="A8" s="9" t="s">
        <v>109</v>
      </c>
    </row>
    <row r="9" spans="1:12" x14ac:dyDescent="0.25">
      <c r="A9" s="9"/>
    </row>
    <row r="10" spans="1:12" x14ac:dyDescent="0.25">
      <c r="A10" s="71" t="s">
        <v>145</v>
      </c>
      <c r="C10" s="18"/>
      <c r="D10" s="18"/>
      <c r="E10" s="18"/>
      <c r="F10" s="18"/>
      <c r="G10" s="18"/>
      <c r="H10" s="18"/>
      <c r="I10" s="18"/>
      <c r="J10" s="18"/>
      <c r="K10" s="18"/>
    </row>
    <row r="11" spans="1:12" x14ac:dyDescent="0.25">
      <c r="A11" s="19"/>
      <c r="B11" s="20" t="s">
        <v>77</v>
      </c>
      <c r="C11" s="21" t="s">
        <v>78</v>
      </c>
      <c r="D11" s="21" t="s">
        <v>79</v>
      </c>
      <c r="E11" s="21" t="s">
        <v>80</v>
      </c>
      <c r="F11" s="21" t="s">
        <v>81</v>
      </c>
      <c r="G11" s="21" t="s">
        <v>82</v>
      </c>
      <c r="H11" s="21" t="s">
        <v>83</v>
      </c>
      <c r="I11" s="21" t="s">
        <v>84</v>
      </c>
      <c r="J11" s="21" t="s">
        <v>85</v>
      </c>
      <c r="K11" s="22" t="s">
        <v>88</v>
      </c>
      <c r="L11" s="23" t="s">
        <v>55</v>
      </c>
    </row>
    <row r="12" spans="1:12" x14ac:dyDescent="0.25">
      <c r="A12" s="24" t="s">
        <v>4</v>
      </c>
      <c r="B12" s="25"/>
      <c r="C12" s="26"/>
      <c r="D12" s="26"/>
      <c r="E12" s="26"/>
      <c r="F12" s="26"/>
      <c r="G12" s="26"/>
      <c r="H12" s="26"/>
      <c r="I12" s="26"/>
      <c r="J12" s="26"/>
      <c r="K12" s="27"/>
      <c r="L12" s="28"/>
    </row>
    <row r="13" spans="1:12" x14ac:dyDescent="0.25">
      <c r="A13" s="24" t="s">
        <v>10</v>
      </c>
      <c r="B13" s="25"/>
      <c r="C13" s="26"/>
      <c r="D13" s="26"/>
      <c r="E13" s="26"/>
      <c r="F13" s="26"/>
      <c r="G13" s="26"/>
      <c r="H13" s="26"/>
      <c r="I13" s="26"/>
      <c r="J13" s="26"/>
      <c r="K13" s="27"/>
      <c r="L13" s="28"/>
    </row>
    <row r="14" spans="1:12" x14ac:dyDescent="0.25">
      <c r="A14" s="29" t="s">
        <v>58</v>
      </c>
      <c r="B14" s="30"/>
      <c r="C14" s="31"/>
      <c r="D14" s="31"/>
      <c r="E14" s="31"/>
      <c r="F14" s="31"/>
      <c r="G14" s="31"/>
      <c r="H14" s="31"/>
      <c r="I14" s="31"/>
      <c r="J14" s="31"/>
      <c r="K14" s="32"/>
      <c r="L14" s="33"/>
    </row>
    <row r="15" spans="1:12" x14ac:dyDescent="0.25">
      <c r="A15" s="34" t="s">
        <v>89</v>
      </c>
      <c r="B15" s="30">
        <f>('Case &amp; Scenario Parameters'!$B$7*'Unit Prices'!$C$7*$B$2)+('Case &amp; Scenario Parameters'!$B$7*'Unit Prices'!$C$8*$C$2)</f>
        <v>1300000</v>
      </c>
      <c r="C15" s="31"/>
      <c r="D15" s="31"/>
      <c r="E15" s="31"/>
      <c r="F15" s="31"/>
      <c r="G15" s="31"/>
      <c r="H15" s="31"/>
      <c r="I15" s="31"/>
      <c r="J15" s="31"/>
      <c r="K15" s="32"/>
      <c r="L15" s="33">
        <f t="shared" ref="L15:L20" si="0">SUM(B15:K15)</f>
        <v>1300000</v>
      </c>
    </row>
    <row r="16" spans="1:12" x14ac:dyDescent="0.25">
      <c r="A16" s="34" t="s">
        <v>90</v>
      </c>
      <c r="B16" s="30">
        <f>('Case &amp; Scenario Parameters'!$C$7*'Unit Prices'!$C$7*$B$2)+('Case &amp; Scenario Parameters'!$C$7*'Unit Prices'!$C$8*$C$2)</f>
        <v>0</v>
      </c>
      <c r="C16" s="31"/>
      <c r="D16" s="31"/>
      <c r="E16" s="31"/>
      <c r="F16" s="31"/>
      <c r="G16" s="31"/>
      <c r="H16" s="31"/>
      <c r="I16" s="31"/>
      <c r="J16" s="31"/>
      <c r="K16" s="32"/>
      <c r="L16" s="33">
        <f t="shared" si="0"/>
        <v>0</v>
      </c>
    </row>
    <row r="17" spans="1:12" x14ac:dyDescent="0.25">
      <c r="A17" s="35" t="s">
        <v>91</v>
      </c>
      <c r="B17" s="30">
        <f>('Case &amp; Scenario Parameters'!$D$7*'Unit Prices'!$C$7*$B$2)+('Case &amp; Scenario Parameters'!$D$7*'Unit Prices'!$C$8*$C$2)</f>
        <v>0</v>
      </c>
      <c r="C17" s="31"/>
      <c r="D17" s="31"/>
      <c r="E17" s="31"/>
      <c r="F17" s="31"/>
      <c r="G17" s="31"/>
      <c r="H17" s="31"/>
      <c r="I17" s="31"/>
      <c r="J17" s="31"/>
      <c r="K17" s="32"/>
      <c r="L17" s="33">
        <f t="shared" si="0"/>
        <v>0</v>
      </c>
    </row>
    <row r="18" spans="1:12" x14ac:dyDescent="0.25">
      <c r="A18" s="34" t="s">
        <v>92</v>
      </c>
      <c r="B18" s="30">
        <f>('Case &amp; Scenario Parameters'!$E$7*'Unit Prices'!$C$7*$B$2)+('Case &amp; Scenario Parameters'!$E$7*'Unit Prices'!$C$8*$C$2)</f>
        <v>68000</v>
      </c>
      <c r="C18" s="31"/>
      <c r="D18" s="31"/>
      <c r="E18" s="31"/>
      <c r="F18" s="31"/>
      <c r="G18" s="31"/>
      <c r="H18" s="31"/>
      <c r="I18" s="31"/>
      <c r="J18" s="31"/>
      <c r="K18" s="32"/>
      <c r="L18" s="33">
        <f t="shared" si="0"/>
        <v>68000</v>
      </c>
    </row>
    <row r="19" spans="1:12" x14ac:dyDescent="0.25">
      <c r="A19" s="34" t="s">
        <v>93</v>
      </c>
      <c r="B19" s="30">
        <f>('Case &amp; Scenario Parameters'!$F$7*'Unit Prices'!$C$7*$B$2)+('Case &amp; Scenario Parameters'!$F$7*'Unit Prices'!$C$8*$C$2)</f>
        <v>0</v>
      </c>
      <c r="C19" s="31"/>
      <c r="D19" s="31"/>
      <c r="E19" s="31"/>
      <c r="F19" s="31"/>
      <c r="G19" s="31"/>
      <c r="H19" s="47" t="s">
        <v>113</v>
      </c>
      <c r="I19" s="31"/>
      <c r="J19" s="31"/>
      <c r="K19" s="32"/>
      <c r="L19" s="33">
        <f t="shared" si="0"/>
        <v>0</v>
      </c>
    </row>
    <row r="20" spans="1:12" x14ac:dyDescent="0.25">
      <c r="A20" s="29" t="s">
        <v>94</v>
      </c>
      <c r="B20" s="30">
        <f>SUM(B15:B19)*'Unit Prices'!$C$9</f>
        <v>41040</v>
      </c>
      <c r="C20" s="31"/>
      <c r="D20" s="31"/>
      <c r="E20" s="31"/>
      <c r="F20" s="31"/>
      <c r="G20" s="31"/>
      <c r="H20" s="31"/>
      <c r="I20" s="31"/>
      <c r="J20" s="31"/>
      <c r="K20" s="32"/>
      <c r="L20" s="33">
        <f t="shared" si="0"/>
        <v>41040</v>
      </c>
    </row>
    <row r="21" spans="1:12" x14ac:dyDescent="0.25">
      <c r="A21" s="29" t="s">
        <v>59</v>
      </c>
      <c r="B21" s="30"/>
      <c r="C21" s="31"/>
      <c r="D21" s="31"/>
      <c r="E21" s="31"/>
      <c r="F21" s="31"/>
      <c r="G21" s="31"/>
      <c r="H21" s="31"/>
      <c r="I21" s="31"/>
      <c r="J21" s="31"/>
      <c r="K21" s="32"/>
      <c r="L21" s="33"/>
    </row>
    <row r="22" spans="1:12" x14ac:dyDescent="0.25">
      <c r="A22" s="34" t="s">
        <v>89</v>
      </c>
      <c r="B22" s="30">
        <f>('Case &amp; Scenario Parameters'!$B$10*'Unit Prices'!$C$11*$B$3)+('Case &amp; Scenario Parameters'!$B$10*'Unit Prices'!$C$12*$C$3)</f>
        <v>450000</v>
      </c>
      <c r="C22" s="31"/>
      <c r="D22" s="31"/>
      <c r="E22" s="31"/>
      <c r="F22" s="31"/>
      <c r="G22" s="31"/>
      <c r="H22" s="31"/>
      <c r="I22" s="31"/>
      <c r="J22" s="31"/>
      <c r="K22" s="32"/>
      <c r="L22" s="33">
        <f t="shared" ref="L22:L27" si="1">SUM(B22:K22)</f>
        <v>450000</v>
      </c>
    </row>
    <row r="23" spans="1:12" x14ac:dyDescent="0.25">
      <c r="A23" s="34" t="s">
        <v>90</v>
      </c>
      <c r="B23" s="30">
        <f>('Case &amp; Scenario Parameters'!$C$10*'Unit Prices'!$C$11*$B$3)+('Case &amp; Scenario Parameters'!$C$10*'Unit Prices'!$C$12*$C$3)</f>
        <v>5250000</v>
      </c>
      <c r="C23" s="31"/>
      <c r="D23" s="31"/>
      <c r="E23" s="31"/>
      <c r="F23" s="31"/>
      <c r="G23" s="31"/>
      <c r="H23" s="31"/>
      <c r="I23" s="31"/>
      <c r="J23" s="31"/>
      <c r="K23" s="32"/>
      <c r="L23" s="33">
        <f t="shared" si="1"/>
        <v>5250000</v>
      </c>
    </row>
    <row r="24" spans="1:12" x14ac:dyDescent="0.25">
      <c r="A24" s="35" t="s">
        <v>91</v>
      </c>
      <c r="B24" s="30">
        <f>('Case &amp; Scenario Parameters'!$D$10*'Unit Prices'!$C$11*$B$3)+('Case &amp; Scenario Parameters'!$D$10*'Unit Prices'!$C$12*$C$3)</f>
        <v>250000</v>
      </c>
      <c r="C24" s="31"/>
      <c r="D24" s="31"/>
      <c r="E24" s="31"/>
      <c r="F24" s="31"/>
      <c r="G24" s="31"/>
      <c r="H24" s="31"/>
      <c r="I24" s="31"/>
      <c r="J24" s="31"/>
      <c r="K24" s="32"/>
      <c r="L24" s="33">
        <f t="shared" si="1"/>
        <v>250000</v>
      </c>
    </row>
    <row r="25" spans="1:12" x14ac:dyDescent="0.25">
      <c r="A25" s="34" t="s">
        <v>92</v>
      </c>
      <c r="B25" s="30">
        <f>('Case &amp; Scenario Parameters'!$E$10*'Unit Prices'!$C$11*$B$3)+('Case &amp; Scenario Parameters'!$E$10*'Unit Prices'!$C$12*$C$3)</f>
        <v>0</v>
      </c>
      <c r="C25" s="31"/>
      <c r="D25" s="31"/>
      <c r="E25" s="31"/>
      <c r="F25" s="31"/>
      <c r="G25" s="31"/>
      <c r="H25" s="31"/>
      <c r="I25" s="31"/>
      <c r="J25" s="31"/>
      <c r="K25" s="32"/>
      <c r="L25" s="33">
        <f t="shared" si="1"/>
        <v>0</v>
      </c>
    </row>
    <row r="26" spans="1:12" x14ac:dyDescent="0.25">
      <c r="A26" s="34" t="s">
        <v>93</v>
      </c>
      <c r="B26" s="30">
        <f>('Case &amp; Scenario Parameters'!$F$10*'Unit Prices'!$C$11*$B$3)+('Case &amp; Scenario Parameters'!$F$10*'Unit Prices'!$C$12*$C$3)</f>
        <v>0</v>
      </c>
      <c r="C26" s="31"/>
      <c r="D26" s="31"/>
      <c r="E26" s="31"/>
      <c r="F26" s="31"/>
      <c r="G26" s="31"/>
      <c r="H26" s="31"/>
      <c r="I26" s="31"/>
      <c r="J26" s="31"/>
      <c r="K26" s="32"/>
      <c r="L26" s="33">
        <f t="shared" si="1"/>
        <v>0</v>
      </c>
    </row>
    <row r="27" spans="1:12" x14ac:dyDescent="0.25">
      <c r="A27" s="29" t="s">
        <v>95</v>
      </c>
      <c r="B27" s="30">
        <f>SUM(B22:B26)*'Unit Prices'!$C$13</f>
        <v>178500</v>
      </c>
      <c r="C27" s="31"/>
      <c r="D27" s="31"/>
      <c r="E27" s="31"/>
      <c r="F27" s="31"/>
      <c r="G27" s="31"/>
      <c r="H27" s="31"/>
      <c r="I27" s="31"/>
      <c r="J27" s="31"/>
      <c r="K27" s="32"/>
      <c r="L27" s="33">
        <f t="shared" si="1"/>
        <v>178500</v>
      </c>
    </row>
    <row r="28" spans="1:12" x14ac:dyDescent="0.25">
      <c r="A28" s="29" t="s">
        <v>96</v>
      </c>
      <c r="B28" s="30"/>
      <c r="C28" s="31"/>
      <c r="D28" s="31"/>
      <c r="E28" s="31"/>
      <c r="F28" s="31"/>
      <c r="G28" s="31"/>
      <c r="H28" s="31"/>
      <c r="I28" s="31"/>
      <c r="J28" s="31"/>
      <c r="K28" s="32"/>
      <c r="L28" s="33"/>
    </row>
    <row r="29" spans="1:12" x14ac:dyDescent="0.25">
      <c r="A29" s="29" t="s">
        <v>97</v>
      </c>
      <c r="B29" s="30">
        <f>'Case &amp; Scenario Parameters'!$G$4*'Case &amp; Scenario Parameters'!$B$22*'Unit Prices'!$C$15*'Case &amp; Scenario Parameters'!$B$60</f>
        <v>25272</v>
      </c>
      <c r="C29" s="31"/>
      <c r="D29" s="31"/>
      <c r="E29" s="31"/>
      <c r="F29" s="31"/>
      <c r="G29" s="31"/>
      <c r="H29" s="31"/>
      <c r="I29" s="31"/>
      <c r="J29" s="31"/>
      <c r="K29" s="32"/>
      <c r="L29" s="33">
        <f t="shared" ref="L29:L38" si="2">SUM(B29:K29)</f>
        <v>25272</v>
      </c>
    </row>
    <row r="30" spans="1:12" x14ac:dyDescent="0.25">
      <c r="A30" s="29" t="s">
        <v>98</v>
      </c>
      <c r="B30" s="30">
        <f>'Case &amp; Scenario Parameters'!$G$4*'Case &amp; Scenario Parameters'!$B$22*'Unit Prices'!$C$16*'Case &amp; Scenario Parameters'!$B$60</f>
        <v>473850</v>
      </c>
      <c r="C30" s="31"/>
      <c r="D30" s="31"/>
      <c r="E30" s="31"/>
      <c r="F30" s="31"/>
      <c r="G30" s="31"/>
      <c r="H30" s="31"/>
      <c r="I30" s="31"/>
      <c r="J30" s="31"/>
      <c r="K30" s="32"/>
      <c r="L30" s="33">
        <f t="shared" si="2"/>
        <v>473850</v>
      </c>
    </row>
    <row r="31" spans="1:12" x14ac:dyDescent="0.25">
      <c r="A31" s="29" t="s">
        <v>99</v>
      </c>
      <c r="B31" s="30">
        <f>'Unit Prices'!$C$17</f>
        <v>100000</v>
      </c>
      <c r="C31" s="31"/>
      <c r="D31" s="31"/>
      <c r="E31" s="31"/>
      <c r="F31" s="31"/>
      <c r="G31" s="31"/>
      <c r="H31" s="31"/>
      <c r="I31" s="31"/>
      <c r="J31" s="31"/>
      <c r="K31" s="32"/>
      <c r="L31" s="33">
        <f t="shared" si="2"/>
        <v>100000</v>
      </c>
    </row>
    <row r="32" spans="1:12" x14ac:dyDescent="0.25">
      <c r="A32" s="29" t="s">
        <v>100</v>
      </c>
      <c r="B32" s="30">
        <f>($B$15+$B$16+$B$17+$B$18+$B$19+$B$22+$B$23+$B$24+$B$25+$B$26)*'Unit Prices'!$C$18</f>
        <v>731800</v>
      </c>
      <c r="C32" s="31"/>
      <c r="D32" s="31"/>
      <c r="E32" s="31"/>
      <c r="F32" s="31"/>
      <c r="G32" s="31"/>
      <c r="H32" s="31"/>
      <c r="I32" s="31"/>
      <c r="J32" s="31"/>
      <c r="K32" s="32"/>
      <c r="L32" s="33">
        <f t="shared" si="2"/>
        <v>731800</v>
      </c>
    </row>
    <row r="33" spans="1:12" x14ac:dyDescent="0.25">
      <c r="A33" s="29" t="s">
        <v>101</v>
      </c>
      <c r="B33" s="30">
        <f>($B$15+$B$16+$B$17+$B$18+$B$19+$B$22+$B$23+$B$24+$B$25+$B$26)*'Unit Prices'!$C$19</f>
        <v>731800</v>
      </c>
      <c r="C33" s="31"/>
      <c r="D33" s="31"/>
      <c r="E33" s="31"/>
      <c r="F33" s="31"/>
      <c r="G33" s="31"/>
      <c r="H33" s="31"/>
      <c r="I33" s="31"/>
      <c r="J33" s="31"/>
      <c r="K33" s="32"/>
      <c r="L33" s="33">
        <f t="shared" si="2"/>
        <v>731800</v>
      </c>
    </row>
    <row r="34" spans="1:12" x14ac:dyDescent="0.25">
      <c r="A34" s="29" t="s">
        <v>5</v>
      </c>
      <c r="B34" s="30">
        <f>'Unit Prices'!$C$20</f>
        <v>300000</v>
      </c>
      <c r="C34" s="31"/>
      <c r="D34" s="31"/>
      <c r="E34" s="31"/>
      <c r="F34" s="31"/>
      <c r="G34" s="31"/>
      <c r="H34" s="31"/>
      <c r="I34" s="31"/>
      <c r="J34" s="31"/>
      <c r="K34" s="32"/>
      <c r="L34" s="33">
        <f t="shared" si="2"/>
        <v>300000</v>
      </c>
    </row>
    <row r="35" spans="1:12" x14ac:dyDescent="0.25">
      <c r="A35" s="29" t="s">
        <v>102</v>
      </c>
      <c r="B35" s="30">
        <f>'Unit Prices'!$C$21</f>
        <v>35000</v>
      </c>
      <c r="C35" s="31"/>
      <c r="D35" s="31"/>
      <c r="E35" s="31"/>
      <c r="F35" s="31"/>
      <c r="G35" s="31"/>
      <c r="H35" s="31"/>
      <c r="I35" s="31"/>
      <c r="J35" s="31"/>
      <c r="K35" s="32"/>
      <c r="L35" s="33">
        <f t="shared" si="2"/>
        <v>35000</v>
      </c>
    </row>
    <row r="36" spans="1:12" x14ac:dyDescent="0.25">
      <c r="A36" s="29" t="s">
        <v>103</v>
      </c>
      <c r="B36" s="30">
        <f>'Unit Prices'!$C$22</f>
        <v>200000</v>
      </c>
      <c r="C36" s="31"/>
      <c r="D36" s="31"/>
      <c r="E36" s="31"/>
      <c r="F36" s="31"/>
      <c r="G36" s="31"/>
      <c r="H36" s="31"/>
      <c r="I36" s="31"/>
      <c r="J36" s="31"/>
      <c r="K36" s="32"/>
      <c r="L36" s="33">
        <f t="shared" si="2"/>
        <v>200000</v>
      </c>
    </row>
    <row r="37" spans="1:12" x14ac:dyDescent="0.25">
      <c r="A37" s="29" t="s">
        <v>104</v>
      </c>
      <c r="B37" s="30">
        <f>'Unit Prices'!$C$23</f>
        <v>300000</v>
      </c>
      <c r="C37" s="31"/>
      <c r="D37" s="31"/>
      <c r="E37" s="31"/>
      <c r="F37" s="31"/>
      <c r="G37" s="31"/>
      <c r="H37" s="31"/>
      <c r="I37" s="31"/>
      <c r="J37" s="31"/>
      <c r="K37" s="32"/>
      <c r="L37" s="33">
        <f t="shared" si="2"/>
        <v>300000</v>
      </c>
    </row>
    <row r="38" spans="1:12" x14ac:dyDescent="0.25">
      <c r="A38" s="29" t="s">
        <v>33</v>
      </c>
      <c r="B38" s="30">
        <f>SUM(B15:B37)*'Unit Prices'!$C$25</f>
        <v>1043526.2000000001</v>
      </c>
      <c r="C38" s="31"/>
      <c r="D38" s="31"/>
      <c r="E38" s="31"/>
      <c r="F38" s="31"/>
      <c r="G38" s="31"/>
      <c r="H38" s="31"/>
      <c r="I38" s="31"/>
      <c r="J38" s="31"/>
      <c r="K38" s="32"/>
      <c r="L38" s="33">
        <f t="shared" si="2"/>
        <v>1043526.2000000001</v>
      </c>
    </row>
    <row r="39" spans="1:12" x14ac:dyDescent="0.25">
      <c r="A39" s="24" t="s">
        <v>105</v>
      </c>
      <c r="B39" s="25"/>
      <c r="C39" s="26"/>
      <c r="D39" s="26"/>
      <c r="E39" s="26"/>
      <c r="F39" s="26"/>
      <c r="G39" s="26"/>
      <c r="H39" s="26"/>
      <c r="I39" s="26"/>
      <c r="J39" s="26"/>
      <c r="K39" s="27"/>
      <c r="L39" s="28"/>
    </row>
    <row r="40" spans="1:12" x14ac:dyDescent="0.25">
      <c r="A40" s="29" t="s">
        <v>106</v>
      </c>
      <c r="B40" s="30"/>
      <c r="C40" s="31">
        <f>($B$15+$B$16+$B$17+$B$18+$B$19+$B$22+$B$23+$B$24+$B$25+$B$26)*'Unit Prices'!$C$28</f>
        <v>365900</v>
      </c>
      <c r="D40" s="31">
        <f t="shared" ref="D40:K40" si="3">C40</f>
        <v>365900</v>
      </c>
      <c r="E40" s="31">
        <f t="shared" si="3"/>
        <v>365900</v>
      </c>
      <c r="F40" s="31">
        <f t="shared" si="3"/>
        <v>365900</v>
      </c>
      <c r="G40" s="31">
        <f t="shared" si="3"/>
        <v>365900</v>
      </c>
      <c r="H40" s="31">
        <f t="shared" si="3"/>
        <v>365900</v>
      </c>
      <c r="I40" s="31">
        <f t="shared" si="3"/>
        <v>365900</v>
      </c>
      <c r="J40" s="31">
        <f t="shared" si="3"/>
        <v>365900</v>
      </c>
      <c r="K40" s="31">
        <f t="shared" si="3"/>
        <v>365900</v>
      </c>
      <c r="L40" s="33">
        <f t="shared" ref="L40:L61" si="4">SUM(B40:K40)</f>
        <v>3293100</v>
      </c>
    </row>
    <row r="41" spans="1:12" x14ac:dyDescent="0.25">
      <c r="A41" s="29" t="s">
        <v>107</v>
      </c>
      <c r="B41" s="30"/>
      <c r="C41" s="31"/>
      <c r="D41" s="31">
        <f t="shared" ref="D41:E58" si="5">C41</f>
        <v>0</v>
      </c>
      <c r="E41" s="31">
        <f t="shared" si="5"/>
        <v>0</v>
      </c>
      <c r="F41" s="31">
        <f t="shared" ref="F41:K41" si="6">E41</f>
        <v>0</v>
      </c>
      <c r="G41" s="31">
        <f t="shared" si="6"/>
        <v>0</v>
      </c>
      <c r="H41" s="31">
        <f t="shared" si="6"/>
        <v>0</v>
      </c>
      <c r="I41" s="31">
        <f t="shared" si="6"/>
        <v>0</v>
      </c>
      <c r="J41" s="31">
        <f t="shared" si="6"/>
        <v>0</v>
      </c>
      <c r="K41" s="31">
        <f t="shared" si="6"/>
        <v>0</v>
      </c>
      <c r="L41" s="33">
        <f t="shared" si="4"/>
        <v>0</v>
      </c>
    </row>
    <row r="42" spans="1:12" x14ac:dyDescent="0.25">
      <c r="A42" s="34" t="s">
        <v>89</v>
      </c>
      <c r="B42" s="30"/>
      <c r="C42" s="31">
        <f>B15*'Case &amp; Scenario Parameters'!$B$59</f>
        <v>65000</v>
      </c>
      <c r="D42" s="31">
        <f t="shared" si="5"/>
        <v>65000</v>
      </c>
      <c r="E42" s="31">
        <f t="shared" si="5"/>
        <v>65000</v>
      </c>
      <c r="F42" s="31">
        <f t="shared" ref="F42:K42" si="7">E42</f>
        <v>65000</v>
      </c>
      <c r="G42" s="31">
        <f t="shared" si="7"/>
        <v>65000</v>
      </c>
      <c r="H42" s="31">
        <f t="shared" si="7"/>
        <v>65000</v>
      </c>
      <c r="I42" s="31">
        <f t="shared" si="7"/>
        <v>65000</v>
      </c>
      <c r="J42" s="31">
        <f t="shared" si="7"/>
        <v>65000</v>
      </c>
      <c r="K42" s="31">
        <f t="shared" si="7"/>
        <v>65000</v>
      </c>
      <c r="L42" s="33">
        <f t="shared" si="4"/>
        <v>585000</v>
      </c>
    </row>
    <row r="43" spans="1:12" x14ac:dyDescent="0.25">
      <c r="A43" s="34" t="s">
        <v>90</v>
      </c>
      <c r="B43" s="30"/>
      <c r="C43" s="31">
        <f>B16*'Case &amp; Scenario Parameters'!$B$59</f>
        <v>0</v>
      </c>
      <c r="D43" s="31">
        <f t="shared" si="5"/>
        <v>0</v>
      </c>
      <c r="E43" s="31">
        <f t="shared" si="5"/>
        <v>0</v>
      </c>
      <c r="F43" s="31">
        <f t="shared" ref="F43:K43" si="8">E43</f>
        <v>0</v>
      </c>
      <c r="G43" s="31">
        <f t="shared" si="8"/>
        <v>0</v>
      </c>
      <c r="H43" s="31">
        <f t="shared" si="8"/>
        <v>0</v>
      </c>
      <c r="I43" s="31">
        <f t="shared" si="8"/>
        <v>0</v>
      </c>
      <c r="J43" s="31">
        <f t="shared" si="8"/>
        <v>0</v>
      </c>
      <c r="K43" s="31">
        <f t="shared" si="8"/>
        <v>0</v>
      </c>
      <c r="L43" s="33">
        <f t="shared" si="4"/>
        <v>0</v>
      </c>
    </row>
    <row r="44" spans="1:12" x14ac:dyDescent="0.25">
      <c r="A44" s="35" t="s">
        <v>91</v>
      </c>
      <c r="B44" s="30"/>
      <c r="C44" s="31">
        <f>B17*'Case &amp; Scenario Parameters'!$B$59</f>
        <v>0</v>
      </c>
      <c r="D44" s="31">
        <f t="shared" si="5"/>
        <v>0</v>
      </c>
      <c r="E44" s="31">
        <f t="shared" si="5"/>
        <v>0</v>
      </c>
      <c r="F44" s="31">
        <f t="shared" ref="F44:K44" si="9">E44</f>
        <v>0</v>
      </c>
      <c r="G44" s="31">
        <f t="shared" si="9"/>
        <v>0</v>
      </c>
      <c r="H44" s="31">
        <f t="shared" si="9"/>
        <v>0</v>
      </c>
      <c r="I44" s="31">
        <f t="shared" si="9"/>
        <v>0</v>
      </c>
      <c r="J44" s="31">
        <f t="shared" si="9"/>
        <v>0</v>
      </c>
      <c r="K44" s="31">
        <f t="shared" si="9"/>
        <v>0</v>
      </c>
      <c r="L44" s="33">
        <f t="shared" si="4"/>
        <v>0</v>
      </c>
    </row>
    <row r="45" spans="1:12" x14ac:dyDescent="0.25">
      <c r="A45" s="34" t="s">
        <v>92</v>
      </c>
      <c r="B45" s="30"/>
      <c r="C45" s="31">
        <f>B18*'Case &amp; Scenario Parameters'!$B$59</f>
        <v>3400</v>
      </c>
      <c r="D45" s="31">
        <f t="shared" si="5"/>
        <v>3400</v>
      </c>
      <c r="E45" s="31">
        <f t="shared" si="5"/>
        <v>3400</v>
      </c>
      <c r="F45" s="31">
        <f t="shared" ref="F45:K45" si="10">E45</f>
        <v>3400</v>
      </c>
      <c r="G45" s="31">
        <f t="shared" si="10"/>
        <v>3400</v>
      </c>
      <c r="H45" s="31">
        <f t="shared" si="10"/>
        <v>3400</v>
      </c>
      <c r="I45" s="31">
        <f t="shared" si="10"/>
        <v>3400</v>
      </c>
      <c r="J45" s="31">
        <f t="shared" si="10"/>
        <v>3400</v>
      </c>
      <c r="K45" s="31">
        <f t="shared" si="10"/>
        <v>3400</v>
      </c>
      <c r="L45" s="33">
        <f t="shared" si="4"/>
        <v>30600</v>
      </c>
    </row>
    <row r="46" spans="1:12" x14ac:dyDescent="0.25">
      <c r="A46" s="34" t="s">
        <v>93</v>
      </c>
      <c r="B46" s="30"/>
      <c r="C46" s="31">
        <f>B19*'Case &amp; Scenario Parameters'!$B$59</f>
        <v>0</v>
      </c>
      <c r="D46" s="31">
        <f t="shared" si="5"/>
        <v>0</v>
      </c>
      <c r="E46" s="31">
        <f t="shared" si="5"/>
        <v>0</v>
      </c>
      <c r="F46" s="31">
        <f t="shared" ref="F46:K46" si="11">E46</f>
        <v>0</v>
      </c>
      <c r="G46" s="31">
        <f t="shared" si="11"/>
        <v>0</v>
      </c>
      <c r="H46" s="31">
        <f t="shared" si="11"/>
        <v>0</v>
      </c>
      <c r="I46" s="31">
        <f t="shared" si="11"/>
        <v>0</v>
      </c>
      <c r="J46" s="31">
        <f t="shared" si="11"/>
        <v>0</v>
      </c>
      <c r="K46" s="31">
        <f t="shared" si="11"/>
        <v>0</v>
      </c>
      <c r="L46" s="33">
        <f t="shared" si="4"/>
        <v>0</v>
      </c>
    </row>
    <row r="47" spans="1:12" x14ac:dyDescent="0.25">
      <c r="A47" s="29" t="s">
        <v>94</v>
      </c>
      <c r="B47" s="30"/>
      <c r="C47" s="31">
        <f>SUM(C42:C46)*'Unit Prices'!$C$9</f>
        <v>2052</v>
      </c>
      <c r="D47" s="31">
        <f t="shared" si="5"/>
        <v>2052</v>
      </c>
      <c r="E47" s="31">
        <f t="shared" si="5"/>
        <v>2052</v>
      </c>
      <c r="F47" s="31">
        <f t="shared" ref="F47:K47" si="12">E47</f>
        <v>2052</v>
      </c>
      <c r="G47" s="31">
        <f t="shared" si="12"/>
        <v>2052</v>
      </c>
      <c r="H47" s="31">
        <f t="shared" si="12"/>
        <v>2052</v>
      </c>
      <c r="I47" s="31">
        <f t="shared" si="12"/>
        <v>2052</v>
      </c>
      <c r="J47" s="31">
        <f t="shared" si="12"/>
        <v>2052</v>
      </c>
      <c r="K47" s="31">
        <f t="shared" si="12"/>
        <v>2052</v>
      </c>
      <c r="L47" s="33">
        <f t="shared" si="4"/>
        <v>18468</v>
      </c>
    </row>
    <row r="48" spans="1:12" x14ac:dyDescent="0.25">
      <c r="A48" s="51" t="s">
        <v>153</v>
      </c>
      <c r="B48" s="30"/>
      <c r="C48" s="31"/>
      <c r="D48" s="31">
        <f t="shared" si="5"/>
        <v>0</v>
      </c>
      <c r="E48" s="31">
        <f t="shared" si="5"/>
        <v>0</v>
      </c>
      <c r="F48" s="31">
        <f t="shared" ref="F48:K48" si="13">E48</f>
        <v>0</v>
      </c>
      <c r="G48" s="31">
        <f t="shared" si="13"/>
        <v>0</v>
      </c>
      <c r="H48" s="31">
        <f t="shared" si="13"/>
        <v>0</v>
      </c>
      <c r="I48" s="31">
        <f t="shared" si="13"/>
        <v>0</v>
      </c>
      <c r="J48" s="31">
        <f t="shared" si="13"/>
        <v>0</v>
      </c>
      <c r="K48" s="31">
        <f t="shared" si="13"/>
        <v>0</v>
      </c>
      <c r="L48" s="33">
        <f t="shared" si="4"/>
        <v>0</v>
      </c>
    </row>
    <row r="49" spans="1:12" x14ac:dyDescent="0.25">
      <c r="A49" s="34" t="s">
        <v>89</v>
      </c>
      <c r="B49" s="30"/>
      <c r="C49" s="31">
        <f>B22*'Case &amp; Scenario Parameters'!$B$59</f>
        <v>22500</v>
      </c>
      <c r="D49" s="31">
        <f t="shared" si="5"/>
        <v>22500</v>
      </c>
      <c r="E49" s="31">
        <f t="shared" si="5"/>
        <v>22500</v>
      </c>
      <c r="F49" s="31">
        <f t="shared" ref="F49:K49" si="14">E49</f>
        <v>22500</v>
      </c>
      <c r="G49" s="31">
        <f t="shared" si="14"/>
        <v>22500</v>
      </c>
      <c r="H49" s="31">
        <f t="shared" si="14"/>
        <v>22500</v>
      </c>
      <c r="I49" s="31">
        <f t="shared" si="14"/>
        <v>22500</v>
      </c>
      <c r="J49" s="31">
        <f t="shared" si="14"/>
        <v>22500</v>
      </c>
      <c r="K49" s="31">
        <f t="shared" si="14"/>
        <v>22500</v>
      </c>
      <c r="L49" s="33">
        <f t="shared" si="4"/>
        <v>202500</v>
      </c>
    </row>
    <row r="50" spans="1:12" x14ac:dyDescent="0.25">
      <c r="A50" s="34" t="s">
        <v>90</v>
      </c>
      <c r="B50" s="30"/>
      <c r="C50" s="31">
        <f>B23*'Case &amp; Scenario Parameters'!$B$59</f>
        <v>262500</v>
      </c>
      <c r="D50" s="31">
        <f t="shared" si="5"/>
        <v>262500</v>
      </c>
      <c r="E50" s="31">
        <f t="shared" si="5"/>
        <v>262500</v>
      </c>
      <c r="F50" s="31">
        <f t="shared" ref="F50:K50" si="15">E50</f>
        <v>262500</v>
      </c>
      <c r="G50" s="31">
        <f t="shared" si="15"/>
        <v>262500</v>
      </c>
      <c r="H50" s="31">
        <f t="shared" si="15"/>
        <v>262500</v>
      </c>
      <c r="I50" s="31">
        <f t="shared" si="15"/>
        <v>262500</v>
      </c>
      <c r="J50" s="31">
        <f t="shared" si="15"/>
        <v>262500</v>
      </c>
      <c r="K50" s="31">
        <f t="shared" si="15"/>
        <v>262500</v>
      </c>
      <c r="L50" s="33">
        <f t="shared" si="4"/>
        <v>2362500</v>
      </c>
    </row>
    <row r="51" spans="1:12" x14ac:dyDescent="0.25">
      <c r="A51" s="35" t="s">
        <v>91</v>
      </c>
      <c r="B51" s="30"/>
      <c r="C51" s="31">
        <f>B24*'Case &amp; Scenario Parameters'!$B$59</f>
        <v>12500</v>
      </c>
      <c r="D51" s="31">
        <f t="shared" si="5"/>
        <v>12500</v>
      </c>
      <c r="E51" s="31">
        <f t="shared" si="5"/>
        <v>12500</v>
      </c>
      <c r="F51" s="31">
        <f t="shared" ref="F51:K51" si="16">E51</f>
        <v>12500</v>
      </c>
      <c r="G51" s="31">
        <f t="shared" si="16"/>
        <v>12500</v>
      </c>
      <c r="H51" s="31">
        <f t="shared" si="16"/>
        <v>12500</v>
      </c>
      <c r="I51" s="31">
        <f t="shared" si="16"/>
        <v>12500</v>
      </c>
      <c r="J51" s="31">
        <f t="shared" si="16"/>
        <v>12500</v>
      </c>
      <c r="K51" s="31">
        <f t="shared" si="16"/>
        <v>12500</v>
      </c>
      <c r="L51" s="33">
        <f t="shared" si="4"/>
        <v>112500</v>
      </c>
    </row>
    <row r="52" spans="1:12" x14ac:dyDescent="0.25">
      <c r="A52" s="34" t="s">
        <v>92</v>
      </c>
      <c r="B52" s="30"/>
      <c r="C52" s="31">
        <f>B25*'Case &amp; Scenario Parameters'!$B$59</f>
        <v>0</v>
      </c>
      <c r="D52" s="31">
        <f t="shared" si="5"/>
        <v>0</v>
      </c>
      <c r="E52" s="31">
        <f t="shared" si="5"/>
        <v>0</v>
      </c>
      <c r="F52" s="31">
        <f t="shared" ref="F52:K52" si="17">E52</f>
        <v>0</v>
      </c>
      <c r="G52" s="31">
        <f t="shared" si="17"/>
        <v>0</v>
      </c>
      <c r="H52" s="31">
        <f t="shared" si="17"/>
        <v>0</v>
      </c>
      <c r="I52" s="31">
        <f t="shared" si="17"/>
        <v>0</v>
      </c>
      <c r="J52" s="31">
        <f t="shared" si="17"/>
        <v>0</v>
      </c>
      <c r="K52" s="31">
        <f t="shared" si="17"/>
        <v>0</v>
      </c>
      <c r="L52" s="33">
        <f t="shared" si="4"/>
        <v>0</v>
      </c>
    </row>
    <row r="53" spans="1:12" x14ac:dyDescent="0.25">
      <c r="A53" s="34" t="s">
        <v>93</v>
      </c>
      <c r="B53" s="30"/>
      <c r="C53" s="31">
        <f>B26*'Case &amp; Scenario Parameters'!$B$59</f>
        <v>0</v>
      </c>
      <c r="D53" s="31">
        <f t="shared" si="5"/>
        <v>0</v>
      </c>
      <c r="E53" s="31">
        <f t="shared" si="5"/>
        <v>0</v>
      </c>
      <c r="F53" s="31">
        <f t="shared" ref="F53:K53" si="18">E53</f>
        <v>0</v>
      </c>
      <c r="G53" s="31">
        <f t="shared" si="18"/>
        <v>0</v>
      </c>
      <c r="H53" s="31">
        <f t="shared" si="18"/>
        <v>0</v>
      </c>
      <c r="I53" s="31">
        <f t="shared" si="18"/>
        <v>0</v>
      </c>
      <c r="J53" s="31">
        <f t="shared" si="18"/>
        <v>0</v>
      </c>
      <c r="K53" s="31">
        <f t="shared" si="18"/>
        <v>0</v>
      </c>
      <c r="L53" s="33">
        <f t="shared" si="4"/>
        <v>0</v>
      </c>
    </row>
    <row r="54" spans="1:12" x14ac:dyDescent="0.25">
      <c r="A54" s="29" t="s">
        <v>95</v>
      </c>
      <c r="B54" s="30"/>
      <c r="C54" s="31">
        <f>SUM(C49:C53)*'Unit Prices'!$C$13</f>
        <v>8925</v>
      </c>
      <c r="D54" s="31">
        <f t="shared" si="5"/>
        <v>8925</v>
      </c>
      <c r="E54" s="31">
        <f t="shared" si="5"/>
        <v>8925</v>
      </c>
      <c r="F54" s="31">
        <f t="shared" ref="F54:K54" si="19">E54</f>
        <v>8925</v>
      </c>
      <c r="G54" s="31">
        <f t="shared" si="19"/>
        <v>8925</v>
      </c>
      <c r="H54" s="31">
        <f t="shared" si="19"/>
        <v>8925</v>
      </c>
      <c r="I54" s="31">
        <f t="shared" si="19"/>
        <v>8925</v>
      </c>
      <c r="J54" s="31">
        <f t="shared" si="19"/>
        <v>8925</v>
      </c>
      <c r="K54" s="31">
        <f t="shared" si="19"/>
        <v>8925</v>
      </c>
      <c r="L54" s="33">
        <f t="shared" si="4"/>
        <v>80325</v>
      </c>
    </row>
    <row r="55" spans="1:12" x14ac:dyDescent="0.25">
      <c r="A55" s="51" t="s">
        <v>154</v>
      </c>
      <c r="B55" s="30"/>
      <c r="C55" s="31"/>
      <c r="D55" s="31">
        <f t="shared" si="5"/>
        <v>0</v>
      </c>
      <c r="E55" s="31">
        <f t="shared" si="5"/>
        <v>0</v>
      </c>
      <c r="F55" s="31">
        <f t="shared" ref="F55:K55" si="20">E55</f>
        <v>0</v>
      </c>
      <c r="G55" s="31">
        <f t="shared" si="20"/>
        <v>0</v>
      </c>
      <c r="H55" s="31">
        <f t="shared" si="20"/>
        <v>0</v>
      </c>
      <c r="I55" s="31">
        <f t="shared" si="20"/>
        <v>0</v>
      </c>
      <c r="J55" s="31">
        <f t="shared" si="20"/>
        <v>0</v>
      </c>
      <c r="K55" s="31">
        <f t="shared" si="20"/>
        <v>0</v>
      </c>
      <c r="L55" s="33">
        <f t="shared" si="4"/>
        <v>0</v>
      </c>
    </row>
    <row r="56" spans="1:12" x14ac:dyDescent="0.25">
      <c r="A56" s="29" t="s">
        <v>97</v>
      </c>
      <c r="B56" s="30"/>
      <c r="C56" s="31">
        <f>B29*'Case &amp; Scenario Parameters'!$B$61</f>
        <v>2527.2000000000003</v>
      </c>
      <c r="D56" s="31">
        <f t="shared" si="5"/>
        <v>2527.2000000000003</v>
      </c>
      <c r="E56" s="31">
        <f t="shared" si="5"/>
        <v>2527.2000000000003</v>
      </c>
      <c r="F56" s="31">
        <f t="shared" ref="F56:K56" si="21">E56</f>
        <v>2527.2000000000003</v>
      </c>
      <c r="G56" s="31">
        <f t="shared" si="21"/>
        <v>2527.2000000000003</v>
      </c>
      <c r="H56" s="31">
        <f t="shared" si="21"/>
        <v>2527.2000000000003</v>
      </c>
      <c r="I56" s="31">
        <f t="shared" si="21"/>
        <v>2527.2000000000003</v>
      </c>
      <c r="J56" s="31">
        <f t="shared" si="21"/>
        <v>2527.2000000000003</v>
      </c>
      <c r="K56" s="31">
        <f t="shared" si="21"/>
        <v>2527.2000000000003</v>
      </c>
      <c r="L56" s="33">
        <f t="shared" si="4"/>
        <v>22744.800000000003</v>
      </c>
    </row>
    <row r="57" spans="1:12" x14ac:dyDescent="0.25">
      <c r="A57" s="29" t="s">
        <v>98</v>
      </c>
      <c r="B57" s="30"/>
      <c r="C57" s="31">
        <f>B30*'Case &amp; Scenario Parameters'!$B$61</f>
        <v>47385</v>
      </c>
      <c r="D57" s="31">
        <f t="shared" si="5"/>
        <v>47385</v>
      </c>
      <c r="E57" s="31">
        <f t="shared" si="5"/>
        <v>47385</v>
      </c>
      <c r="F57" s="31">
        <f t="shared" ref="F57:K57" si="22">E57</f>
        <v>47385</v>
      </c>
      <c r="G57" s="31">
        <f t="shared" si="22"/>
        <v>47385</v>
      </c>
      <c r="H57" s="31">
        <f t="shared" si="22"/>
        <v>47385</v>
      </c>
      <c r="I57" s="31">
        <f t="shared" si="22"/>
        <v>47385</v>
      </c>
      <c r="J57" s="31">
        <f t="shared" si="22"/>
        <v>47385</v>
      </c>
      <c r="K57" s="31">
        <f t="shared" si="22"/>
        <v>47385</v>
      </c>
      <c r="L57" s="33">
        <f t="shared" si="4"/>
        <v>426465</v>
      </c>
    </row>
    <row r="58" spans="1:12" x14ac:dyDescent="0.25">
      <c r="A58" s="29" t="s">
        <v>108</v>
      </c>
      <c r="B58" s="30"/>
      <c r="C58" s="31">
        <f>SUM(C40:C57)*'Unit Prices'!$C$37</f>
        <v>79268.92</v>
      </c>
      <c r="D58" s="31">
        <f t="shared" si="5"/>
        <v>79268.92</v>
      </c>
      <c r="E58" s="31">
        <f t="shared" si="5"/>
        <v>79268.92</v>
      </c>
      <c r="F58" s="31">
        <f t="shared" ref="F58:K58" si="23">E58</f>
        <v>79268.92</v>
      </c>
      <c r="G58" s="31">
        <f t="shared" si="23"/>
        <v>79268.92</v>
      </c>
      <c r="H58" s="31">
        <f t="shared" si="23"/>
        <v>79268.92</v>
      </c>
      <c r="I58" s="31">
        <f t="shared" si="23"/>
        <v>79268.92</v>
      </c>
      <c r="J58" s="31">
        <f t="shared" si="23"/>
        <v>79268.92</v>
      </c>
      <c r="K58" s="31">
        <f t="shared" si="23"/>
        <v>79268.92</v>
      </c>
      <c r="L58" s="33">
        <f t="shared" si="4"/>
        <v>713420.28</v>
      </c>
    </row>
    <row r="59" spans="1:12" x14ac:dyDescent="0.25">
      <c r="A59" s="51" t="s">
        <v>135</v>
      </c>
      <c r="B59" s="36">
        <f>B$63*$B$5*'Unit Prices'!$C$38</f>
        <v>0</v>
      </c>
      <c r="C59" s="36">
        <f>B59</f>
        <v>0</v>
      </c>
      <c r="D59" s="36">
        <f t="shared" ref="D59:K59" si="24">C59</f>
        <v>0</v>
      </c>
      <c r="E59" s="36">
        <f t="shared" si="24"/>
        <v>0</v>
      </c>
      <c r="F59" s="36">
        <f t="shared" si="24"/>
        <v>0</v>
      </c>
      <c r="G59" s="36">
        <f t="shared" si="24"/>
        <v>0</v>
      </c>
      <c r="H59" s="36">
        <f t="shared" si="24"/>
        <v>0</v>
      </c>
      <c r="I59" s="36">
        <f t="shared" si="24"/>
        <v>0</v>
      </c>
      <c r="J59" s="36">
        <f t="shared" si="24"/>
        <v>0</v>
      </c>
      <c r="K59" s="36">
        <f t="shared" si="24"/>
        <v>0</v>
      </c>
      <c r="L59" s="33">
        <f t="shared" si="4"/>
        <v>0</v>
      </c>
    </row>
    <row r="60" spans="1:12" x14ac:dyDescent="0.25">
      <c r="A60" s="51" t="s">
        <v>136</v>
      </c>
      <c r="B60" s="30">
        <f>B$63*'Unit Prices'!$C$39*$B$6</f>
        <v>0</v>
      </c>
      <c r="C60" s="73">
        <f>B60</f>
        <v>0</v>
      </c>
      <c r="D60" s="73">
        <f t="shared" ref="D60:K60" si="25">C60</f>
        <v>0</v>
      </c>
      <c r="E60" s="73">
        <f t="shared" si="25"/>
        <v>0</v>
      </c>
      <c r="F60" s="73">
        <f t="shared" si="25"/>
        <v>0</v>
      </c>
      <c r="G60" s="73">
        <f t="shared" si="25"/>
        <v>0</v>
      </c>
      <c r="H60" s="73">
        <f t="shared" si="25"/>
        <v>0</v>
      </c>
      <c r="I60" s="73">
        <f t="shared" si="25"/>
        <v>0</v>
      </c>
      <c r="J60" s="73">
        <f t="shared" si="25"/>
        <v>0</v>
      </c>
      <c r="K60" s="73">
        <f t="shared" si="25"/>
        <v>0</v>
      </c>
      <c r="L60" s="33">
        <f t="shared" si="4"/>
        <v>0</v>
      </c>
    </row>
    <row r="61" spans="1:12" x14ac:dyDescent="0.25">
      <c r="A61" s="37" t="s">
        <v>114</v>
      </c>
      <c r="B61" s="38">
        <f t="shared" ref="B61:K61" si="26">SUM(B15:B58)+B59+B60</f>
        <v>11478788.199999999</v>
      </c>
      <c r="C61" s="39">
        <f t="shared" si="26"/>
        <v>871958.12</v>
      </c>
      <c r="D61" s="39">
        <f t="shared" si="26"/>
        <v>871958.12</v>
      </c>
      <c r="E61" s="39">
        <f t="shared" si="26"/>
        <v>871958.12</v>
      </c>
      <c r="F61" s="39">
        <f t="shared" si="26"/>
        <v>871958.12</v>
      </c>
      <c r="G61" s="39">
        <f t="shared" si="26"/>
        <v>871958.12</v>
      </c>
      <c r="H61" s="39">
        <f t="shared" si="26"/>
        <v>871958.12</v>
      </c>
      <c r="I61" s="39">
        <f t="shared" si="26"/>
        <v>871958.12</v>
      </c>
      <c r="J61" s="39">
        <f t="shared" si="26"/>
        <v>871958.12</v>
      </c>
      <c r="K61" s="40">
        <f t="shared" si="26"/>
        <v>871958.12</v>
      </c>
      <c r="L61" s="41">
        <f t="shared" si="4"/>
        <v>19326411.279999997</v>
      </c>
    </row>
    <row r="62" spans="1:12" x14ac:dyDescent="0.25">
      <c r="A62" s="24" t="s">
        <v>117</v>
      </c>
      <c r="B62" s="25"/>
      <c r="C62" s="26"/>
      <c r="D62" s="26"/>
      <c r="E62" s="26"/>
      <c r="F62" s="26"/>
      <c r="G62" s="26"/>
      <c r="H62" s="26"/>
      <c r="I62" s="26"/>
      <c r="J62" s="26"/>
      <c r="K62" s="27"/>
      <c r="L62" s="28"/>
    </row>
    <row r="63" spans="1:12" x14ac:dyDescent="0.25">
      <c r="A63" s="37" t="s">
        <v>115</v>
      </c>
      <c r="B63" s="38">
        <f>'Case &amp; Scenario Parameters'!$G$11*$B$4</f>
        <v>99315000</v>
      </c>
      <c r="C63" s="38">
        <f>'Case &amp; Scenario Parameters'!$G$11*$B$4</f>
        <v>99315000</v>
      </c>
      <c r="D63" s="38">
        <f>'Case &amp; Scenario Parameters'!$G$11*$B$4</f>
        <v>99315000</v>
      </c>
      <c r="E63" s="38">
        <f>'Case &amp; Scenario Parameters'!$G$11*$B$4</f>
        <v>99315000</v>
      </c>
      <c r="F63" s="38">
        <f>'Case &amp; Scenario Parameters'!$G$11*$B$4</f>
        <v>99315000</v>
      </c>
      <c r="G63" s="38">
        <f>'Case &amp; Scenario Parameters'!$G$11*$B$4</f>
        <v>99315000</v>
      </c>
      <c r="H63" s="38">
        <f>'Case &amp; Scenario Parameters'!$G$11*$B$4</f>
        <v>99315000</v>
      </c>
      <c r="I63" s="38">
        <f>'Case &amp; Scenario Parameters'!$G$11*$B$4</f>
        <v>99315000</v>
      </c>
      <c r="J63" s="38">
        <f>'Case &amp; Scenario Parameters'!$G$11*$B$4</f>
        <v>99315000</v>
      </c>
      <c r="K63" s="38">
        <f>'Case &amp; Scenario Parameters'!$G$11*$B$4</f>
        <v>99315000</v>
      </c>
      <c r="L63" s="41">
        <f>SUM(B63:K63)</f>
        <v>993150000</v>
      </c>
    </row>
    <row r="64" spans="1:12" x14ac:dyDescent="0.25">
      <c r="A64" s="42"/>
      <c r="B64" s="30"/>
      <c r="C64" s="31"/>
      <c r="D64" s="31"/>
      <c r="E64" s="31"/>
      <c r="F64" s="31"/>
      <c r="G64" s="31"/>
      <c r="H64" s="31"/>
      <c r="I64" s="31"/>
      <c r="J64" s="31"/>
      <c r="K64" s="32"/>
      <c r="L64" s="33"/>
    </row>
    <row r="65" spans="1:12" ht="14.25" x14ac:dyDescent="0.2"/>
    <row r="66" spans="1:12" x14ac:dyDescent="0.25">
      <c r="A66" s="71" t="s">
        <v>146</v>
      </c>
      <c r="C66" s="18"/>
      <c r="D66" s="18"/>
      <c r="E66" s="18"/>
      <c r="F66" s="18"/>
      <c r="G66" s="18"/>
      <c r="H66" s="18"/>
      <c r="I66" s="18"/>
      <c r="J66" s="18"/>
      <c r="K66" s="18"/>
    </row>
    <row r="67" spans="1:12" x14ac:dyDescent="0.25">
      <c r="A67" s="19"/>
      <c r="B67" s="20" t="s">
        <v>77</v>
      </c>
      <c r="C67" s="21" t="s">
        <v>78</v>
      </c>
      <c r="D67" s="21" t="s">
        <v>79</v>
      </c>
      <c r="E67" s="21" t="s">
        <v>80</v>
      </c>
      <c r="F67" s="21" t="s">
        <v>81</v>
      </c>
      <c r="G67" s="21" t="s">
        <v>82</v>
      </c>
      <c r="H67" s="21" t="s">
        <v>83</v>
      </c>
      <c r="I67" s="21" t="s">
        <v>84</v>
      </c>
      <c r="J67" s="21" t="s">
        <v>85</v>
      </c>
      <c r="K67" s="22" t="s">
        <v>88</v>
      </c>
      <c r="L67" s="23" t="s">
        <v>55</v>
      </c>
    </row>
    <row r="68" spans="1:12" ht="15" customHeight="1" x14ac:dyDescent="0.25">
      <c r="A68" s="24" t="s">
        <v>4</v>
      </c>
      <c r="B68" s="25"/>
      <c r="C68" s="26"/>
      <c r="D68" s="26"/>
      <c r="E68" s="26"/>
      <c r="F68" s="26"/>
      <c r="G68" s="26"/>
      <c r="H68" s="26"/>
      <c r="I68" s="26"/>
      <c r="J68" s="26"/>
      <c r="K68" s="27"/>
      <c r="L68" s="28"/>
    </row>
    <row r="69" spans="1:12" ht="15" customHeight="1" x14ac:dyDescent="0.25">
      <c r="A69" s="24" t="s">
        <v>10</v>
      </c>
      <c r="B69" s="25"/>
      <c r="C69" s="26"/>
      <c r="D69" s="26"/>
      <c r="E69" s="26"/>
      <c r="F69" s="26"/>
      <c r="G69" s="26"/>
      <c r="H69" s="26"/>
      <c r="I69" s="26"/>
      <c r="J69" s="26"/>
      <c r="K69" s="27"/>
      <c r="L69" s="28"/>
    </row>
    <row r="70" spans="1:12" x14ac:dyDescent="0.25">
      <c r="A70" s="29" t="s">
        <v>58</v>
      </c>
      <c r="B70" s="30"/>
      <c r="C70" s="31"/>
      <c r="D70" s="31"/>
      <c r="E70" s="31"/>
      <c r="F70" s="31"/>
      <c r="G70" s="31"/>
      <c r="H70" s="31"/>
      <c r="I70" s="31"/>
      <c r="J70" s="31"/>
      <c r="K70" s="32"/>
      <c r="L70" s="33"/>
    </row>
    <row r="71" spans="1:12" x14ac:dyDescent="0.25">
      <c r="A71" s="34" t="s">
        <v>89</v>
      </c>
      <c r="B71" s="30">
        <f>('Case &amp; Scenario Parameters'!$B$7*'Unit Prices'!$D$7*$B$2)+('Case &amp; Scenario Parameters'!$B$7*'Unit Prices'!$D$8*$C$2)</f>
        <v>1625000</v>
      </c>
      <c r="C71" s="31"/>
      <c r="D71" s="31"/>
      <c r="E71" s="31"/>
      <c r="F71" s="31"/>
      <c r="G71" s="31"/>
      <c r="H71" s="31"/>
      <c r="I71" s="31"/>
      <c r="J71" s="31"/>
      <c r="K71" s="32"/>
      <c r="L71" s="33">
        <f t="shared" ref="L71:L76" si="27">SUM(B71:K71)</f>
        <v>1625000</v>
      </c>
    </row>
    <row r="72" spans="1:12" x14ac:dyDescent="0.25">
      <c r="A72" s="34" t="s">
        <v>90</v>
      </c>
      <c r="B72" s="30">
        <f>('Case &amp; Scenario Parameters'!$C$7*'Unit Prices'!$D$7*$B$2)+('Case &amp; Scenario Parameters'!$C$7*'Unit Prices'!$D$8*$C$2)</f>
        <v>0</v>
      </c>
      <c r="C72" s="31"/>
      <c r="D72" s="31"/>
      <c r="E72" s="31"/>
      <c r="F72" s="31"/>
      <c r="G72" s="31"/>
      <c r="H72" s="31"/>
      <c r="I72" s="31"/>
      <c r="J72" s="31"/>
      <c r="K72" s="32"/>
      <c r="L72" s="33">
        <f t="shared" si="27"/>
        <v>0</v>
      </c>
    </row>
    <row r="73" spans="1:12" x14ac:dyDescent="0.25">
      <c r="A73" s="35" t="s">
        <v>91</v>
      </c>
      <c r="B73" s="30">
        <f>('Case &amp; Scenario Parameters'!$D$7*'Unit Prices'!$D$7*$B$2)+('Case &amp; Scenario Parameters'!$D$7*'Unit Prices'!$D$8*$C$2)</f>
        <v>0</v>
      </c>
      <c r="C73" s="31"/>
      <c r="D73" s="31"/>
      <c r="E73" s="31"/>
      <c r="F73" s="31"/>
      <c r="G73" s="31"/>
      <c r="H73" s="31"/>
      <c r="I73" s="31"/>
      <c r="J73" s="31"/>
      <c r="K73" s="32"/>
      <c r="L73" s="33">
        <f t="shared" si="27"/>
        <v>0</v>
      </c>
    </row>
    <row r="74" spans="1:12" x14ac:dyDescent="0.25">
      <c r="A74" s="34" t="s">
        <v>92</v>
      </c>
      <c r="B74" s="30">
        <f>('Case &amp; Scenario Parameters'!$E$7*'Unit Prices'!$D$7*$B$2)+('Case &amp; Scenario Parameters'!$E$7*'Unit Prices'!$D$8*$C$2)</f>
        <v>85000</v>
      </c>
      <c r="C74" s="31"/>
      <c r="D74" s="31"/>
      <c r="E74" s="31"/>
      <c r="F74" s="31"/>
      <c r="G74" s="31"/>
      <c r="H74" s="31"/>
      <c r="I74" s="31"/>
      <c r="J74" s="31"/>
      <c r="K74" s="32"/>
      <c r="L74" s="33">
        <f t="shared" si="27"/>
        <v>85000</v>
      </c>
    </row>
    <row r="75" spans="1:12" x14ac:dyDescent="0.25">
      <c r="A75" s="34" t="s">
        <v>93</v>
      </c>
      <c r="B75" s="30">
        <f>('Case &amp; Scenario Parameters'!$F$7*'Unit Prices'!$D$7*$B$2)+('Case &amp; Scenario Parameters'!$F$7*'Unit Prices'!$D$8*$C$2)</f>
        <v>0</v>
      </c>
      <c r="C75" s="31"/>
      <c r="D75" s="31"/>
      <c r="E75" s="31"/>
      <c r="F75" s="31"/>
      <c r="G75" s="31"/>
      <c r="H75" s="31"/>
      <c r="I75" s="31"/>
      <c r="J75" s="31"/>
      <c r="K75" s="32"/>
      <c r="L75" s="33">
        <f t="shared" si="27"/>
        <v>0</v>
      </c>
    </row>
    <row r="76" spans="1:12" x14ac:dyDescent="0.25">
      <c r="A76" s="29" t="s">
        <v>94</v>
      </c>
      <c r="B76" s="30">
        <f>SUM(B71:B75)*'Unit Prices'!$D$9</f>
        <v>171000</v>
      </c>
      <c r="C76" s="31"/>
      <c r="D76" s="31"/>
      <c r="E76" s="31"/>
      <c r="F76" s="31"/>
      <c r="G76" s="31"/>
      <c r="H76" s="31"/>
      <c r="I76" s="31"/>
      <c r="J76" s="31"/>
      <c r="K76" s="32"/>
      <c r="L76" s="33">
        <f t="shared" si="27"/>
        <v>171000</v>
      </c>
    </row>
    <row r="77" spans="1:12" x14ac:dyDescent="0.25">
      <c r="A77" s="29" t="s">
        <v>59</v>
      </c>
      <c r="B77" s="30"/>
      <c r="C77" s="31"/>
      <c r="D77" s="31"/>
      <c r="E77" s="31"/>
      <c r="F77" s="31"/>
      <c r="G77" s="31"/>
      <c r="H77" s="31"/>
      <c r="I77" s="31"/>
      <c r="J77" s="31"/>
      <c r="K77" s="32"/>
      <c r="L77" s="33"/>
    </row>
    <row r="78" spans="1:12" x14ac:dyDescent="0.25">
      <c r="A78" s="34" t="s">
        <v>89</v>
      </c>
      <c r="B78" s="30">
        <f>('Case &amp; Scenario Parameters'!$B$10*'Unit Prices'!$D$11*$B$3)+('Case &amp; Scenario Parameters'!$B$10*'Unit Prices'!$D$12*$C$3)</f>
        <v>900000</v>
      </c>
      <c r="C78" s="31"/>
      <c r="D78" s="31"/>
      <c r="E78" s="31"/>
      <c r="F78" s="31"/>
      <c r="G78" s="31"/>
      <c r="H78" s="31"/>
      <c r="I78" s="31"/>
      <c r="J78" s="31"/>
      <c r="K78" s="32"/>
      <c r="L78" s="33">
        <f t="shared" ref="L78:L83" si="28">SUM(B78:K78)</f>
        <v>900000</v>
      </c>
    </row>
    <row r="79" spans="1:12" x14ac:dyDescent="0.25">
      <c r="A79" s="34" t="s">
        <v>90</v>
      </c>
      <c r="B79" s="30">
        <f>('Case &amp; Scenario Parameters'!$C$10*'Unit Prices'!$D$11*$B$3)+('Case &amp; Scenario Parameters'!$C$10*'Unit Prices'!$D$12*$C$3)</f>
        <v>10500000</v>
      </c>
      <c r="C79" s="31"/>
      <c r="D79" s="31"/>
      <c r="E79" s="31"/>
      <c r="F79" s="31"/>
      <c r="G79" s="31"/>
      <c r="H79" s="31"/>
      <c r="I79" s="31"/>
      <c r="J79" s="31"/>
      <c r="K79" s="32"/>
      <c r="L79" s="33">
        <f t="shared" si="28"/>
        <v>10500000</v>
      </c>
    </row>
    <row r="80" spans="1:12" x14ac:dyDescent="0.25">
      <c r="A80" s="35" t="s">
        <v>91</v>
      </c>
      <c r="B80" s="30">
        <f>('Case &amp; Scenario Parameters'!$D$10*'Unit Prices'!$D$11*$B$3)+('Case &amp; Scenario Parameters'!$D$10*'Unit Prices'!$D$12*$C$3)</f>
        <v>500000</v>
      </c>
      <c r="C80" s="31"/>
      <c r="D80" s="31"/>
      <c r="E80" s="31"/>
      <c r="F80" s="31"/>
      <c r="G80" s="31"/>
      <c r="H80" s="31"/>
      <c r="I80" s="31"/>
      <c r="J80" s="31"/>
      <c r="K80" s="32"/>
      <c r="L80" s="33">
        <f t="shared" si="28"/>
        <v>500000</v>
      </c>
    </row>
    <row r="81" spans="1:12" x14ac:dyDescent="0.25">
      <c r="A81" s="34" t="s">
        <v>92</v>
      </c>
      <c r="B81" s="30">
        <f>('Case &amp; Scenario Parameters'!$E$10*'Unit Prices'!$D$11*$B$3)+('Case &amp; Scenario Parameters'!$E$10*'Unit Prices'!$D$12*$C$3)</f>
        <v>0</v>
      </c>
      <c r="C81" s="31"/>
      <c r="D81" s="31"/>
      <c r="E81" s="31"/>
      <c r="F81" s="31"/>
      <c r="G81" s="31"/>
      <c r="H81" s="31"/>
      <c r="I81" s="31"/>
      <c r="J81" s="31"/>
      <c r="K81" s="32"/>
      <c r="L81" s="33">
        <f t="shared" si="28"/>
        <v>0</v>
      </c>
    </row>
    <row r="82" spans="1:12" x14ac:dyDescent="0.25">
      <c r="A82" s="34" t="s">
        <v>93</v>
      </c>
      <c r="B82" s="30">
        <f>('Case &amp; Scenario Parameters'!$F$10*'Unit Prices'!$D$11*$B$3)+('Case &amp; Scenario Parameters'!$F$10*'Unit Prices'!$D$12*$C$3)</f>
        <v>0</v>
      </c>
      <c r="C82" s="31"/>
      <c r="D82" s="31"/>
      <c r="E82" s="31"/>
      <c r="F82" s="31"/>
      <c r="G82" s="31"/>
      <c r="H82" s="31"/>
      <c r="I82" s="31"/>
      <c r="J82" s="31"/>
      <c r="K82" s="32"/>
      <c r="L82" s="33">
        <f t="shared" si="28"/>
        <v>0</v>
      </c>
    </row>
    <row r="83" spans="1:12" x14ac:dyDescent="0.25">
      <c r="A83" s="29" t="s">
        <v>95</v>
      </c>
      <c r="B83" s="30">
        <f>SUM(B78:B82)*'Unit Prices'!$D$13</f>
        <v>1190000</v>
      </c>
      <c r="C83" s="31"/>
      <c r="D83" s="31"/>
      <c r="E83" s="31"/>
      <c r="F83" s="31"/>
      <c r="G83" s="31"/>
      <c r="H83" s="31"/>
      <c r="I83" s="31"/>
      <c r="J83" s="31"/>
      <c r="K83" s="32"/>
      <c r="L83" s="33">
        <f t="shared" si="28"/>
        <v>1190000</v>
      </c>
    </row>
    <row r="84" spans="1:12" x14ac:dyDescent="0.25">
      <c r="A84" s="29" t="s">
        <v>96</v>
      </c>
      <c r="B84" s="30"/>
      <c r="C84" s="31"/>
      <c r="D84" s="31"/>
      <c r="E84" s="31"/>
      <c r="F84" s="31"/>
      <c r="G84" s="31"/>
      <c r="H84" s="31"/>
      <c r="I84" s="31"/>
      <c r="J84" s="31"/>
      <c r="K84" s="32"/>
      <c r="L84" s="33"/>
    </row>
    <row r="85" spans="1:12" x14ac:dyDescent="0.25">
      <c r="A85" s="29" t="s">
        <v>97</v>
      </c>
      <c r="B85" s="30">
        <f>'Case &amp; Scenario Parameters'!$G$4*'Case &amp; Scenario Parameters'!$B$22*'Unit Prices'!$D$15*'Case &amp; Scenario Parameters'!$B$60</f>
        <v>157950</v>
      </c>
      <c r="C85" s="31"/>
      <c r="D85" s="31"/>
      <c r="E85" s="31"/>
      <c r="F85" s="31"/>
      <c r="G85" s="31"/>
      <c r="H85" s="31"/>
      <c r="I85" s="31"/>
      <c r="J85" s="31"/>
      <c r="K85" s="32"/>
      <c r="L85" s="33">
        <f t="shared" ref="L85:L94" si="29">SUM(B85:K85)</f>
        <v>157950</v>
      </c>
    </row>
    <row r="86" spans="1:12" x14ac:dyDescent="0.25">
      <c r="A86" s="29" t="s">
        <v>98</v>
      </c>
      <c r="B86" s="30">
        <f>'Case &amp; Scenario Parameters'!$G$4*'Case &amp; Scenario Parameters'!$B$22*'Unit Prices'!$D$16*'Case &amp; Scenario Parameters'!$B$60</f>
        <v>947700</v>
      </c>
      <c r="C86" s="31"/>
      <c r="D86" s="31"/>
      <c r="E86" s="31"/>
      <c r="F86" s="31"/>
      <c r="G86" s="31"/>
      <c r="H86" s="31"/>
      <c r="I86" s="31"/>
      <c r="J86" s="31"/>
      <c r="K86" s="32"/>
      <c r="L86" s="33">
        <f t="shared" si="29"/>
        <v>947700</v>
      </c>
    </row>
    <row r="87" spans="1:12" x14ac:dyDescent="0.25">
      <c r="A87" s="29" t="s">
        <v>99</v>
      </c>
      <c r="B87" s="30">
        <f>'Unit Prices'!$D$17</f>
        <v>250000</v>
      </c>
      <c r="C87" s="31"/>
      <c r="D87" s="31"/>
      <c r="E87" s="31"/>
      <c r="F87" s="31"/>
      <c r="G87" s="31"/>
      <c r="H87" s="31"/>
      <c r="I87" s="31"/>
      <c r="J87" s="31"/>
      <c r="K87" s="32"/>
      <c r="L87" s="33">
        <f t="shared" si="29"/>
        <v>250000</v>
      </c>
    </row>
    <row r="88" spans="1:12" x14ac:dyDescent="0.25">
      <c r="A88" s="29" t="s">
        <v>100</v>
      </c>
      <c r="B88" s="30">
        <f>($B$15+$B$16+$B$17+$B$18+$B$19+$B$22+$B$23+$B$24+$B$25+$B$26)*'Unit Prices'!$D$18</f>
        <v>1463600</v>
      </c>
      <c r="C88" s="31"/>
      <c r="D88" s="31"/>
      <c r="E88" s="31"/>
      <c r="F88" s="31"/>
      <c r="G88" s="31"/>
      <c r="H88" s="31"/>
      <c r="I88" s="31"/>
      <c r="J88" s="31"/>
      <c r="K88" s="32"/>
      <c r="L88" s="33">
        <f t="shared" si="29"/>
        <v>1463600</v>
      </c>
    </row>
    <row r="89" spans="1:12" x14ac:dyDescent="0.25">
      <c r="A89" s="29" t="s">
        <v>101</v>
      </c>
      <c r="B89" s="30">
        <f>($B$15+$B$16+$B$17+$B$18+$B$19+$B$22+$B$23+$B$24+$B$25+$B$26)*'Unit Prices'!$D$19</f>
        <v>1463600</v>
      </c>
      <c r="C89" s="31"/>
      <c r="D89" s="31"/>
      <c r="E89" s="31"/>
      <c r="F89" s="31"/>
      <c r="G89" s="31"/>
      <c r="H89" s="31"/>
      <c r="I89" s="31"/>
      <c r="J89" s="31"/>
      <c r="K89" s="32"/>
      <c r="L89" s="33">
        <f t="shared" si="29"/>
        <v>1463600</v>
      </c>
    </row>
    <row r="90" spans="1:12" x14ac:dyDescent="0.25">
      <c r="A90" s="29" t="s">
        <v>5</v>
      </c>
      <c r="B90" s="30">
        <f>'Unit Prices'!$D$20</f>
        <v>2000000</v>
      </c>
      <c r="C90" s="31"/>
      <c r="D90" s="31"/>
      <c r="E90" s="31"/>
      <c r="F90" s="31"/>
      <c r="G90" s="31"/>
      <c r="H90" s="31"/>
      <c r="I90" s="31"/>
      <c r="J90" s="31"/>
      <c r="K90" s="32"/>
      <c r="L90" s="33">
        <f t="shared" si="29"/>
        <v>2000000</v>
      </c>
    </row>
    <row r="91" spans="1:12" x14ac:dyDescent="0.25">
      <c r="A91" s="29" t="s">
        <v>102</v>
      </c>
      <c r="B91" s="30">
        <f>'Unit Prices'!$D$21</f>
        <v>55000</v>
      </c>
      <c r="C91" s="31"/>
      <c r="D91" s="31"/>
      <c r="E91" s="31"/>
      <c r="F91" s="31"/>
      <c r="G91" s="31"/>
      <c r="H91" s="31"/>
      <c r="I91" s="31"/>
      <c r="J91" s="31"/>
      <c r="K91" s="32"/>
      <c r="L91" s="33">
        <f t="shared" si="29"/>
        <v>55000</v>
      </c>
    </row>
    <row r="92" spans="1:12" x14ac:dyDescent="0.25">
      <c r="A92" s="29" t="s">
        <v>103</v>
      </c>
      <c r="B92" s="30">
        <f>'Unit Prices'!$D$22</f>
        <v>750000</v>
      </c>
      <c r="C92" s="31"/>
      <c r="D92" s="31"/>
      <c r="E92" s="31"/>
      <c r="F92" s="31"/>
      <c r="G92" s="31"/>
      <c r="H92" s="31"/>
      <c r="I92" s="31"/>
      <c r="J92" s="31"/>
      <c r="K92" s="32"/>
      <c r="L92" s="33">
        <f t="shared" si="29"/>
        <v>750000</v>
      </c>
    </row>
    <row r="93" spans="1:12" x14ac:dyDescent="0.25">
      <c r="A93" s="29" t="s">
        <v>104</v>
      </c>
      <c r="B93" s="30">
        <f>'Unit Prices'!$D$23</f>
        <v>400000</v>
      </c>
      <c r="C93" s="31"/>
      <c r="D93" s="31"/>
      <c r="E93" s="31"/>
      <c r="F93" s="31"/>
      <c r="G93" s="31"/>
      <c r="H93" s="31"/>
      <c r="I93" s="31"/>
      <c r="J93" s="31"/>
      <c r="K93" s="32"/>
      <c r="L93" s="33">
        <f t="shared" si="29"/>
        <v>400000</v>
      </c>
    </row>
    <row r="94" spans="1:12" x14ac:dyDescent="0.25">
      <c r="A94" s="51" t="s">
        <v>108</v>
      </c>
      <c r="B94" s="73">
        <f>SUM(B71:B93)*'Unit Prices'!$D$25</f>
        <v>3368827.5</v>
      </c>
      <c r="C94" s="31"/>
      <c r="D94" s="31"/>
      <c r="E94" s="31"/>
      <c r="F94" s="31"/>
      <c r="G94" s="31"/>
      <c r="H94" s="31"/>
      <c r="I94" s="31"/>
      <c r="J94" s="31"/>
      <c r="K94" s="32"/>
      <c r="L94" s="33">
        <f t="shared" si="29"/>
        <v>3368827.5</v>
      </c>
    </row>
    <row r="95" spans="1:12" x14ac:dyDescent="0.25">
      <c r="A95" s="24" t="s">
        <v>105</v>
      </c>
      <c r="B95" s="25"/>
      <c r="C95" s="26"/>
      <c r="D95" s="26"/>
      <c r="E95" s="26"/>
      <c r="F95" s="26"/>
      <c r="G95" s="26"/>
      <c r="H95" s="26"/>
      <c r="I95" s="26"/>
      <c r="J95" s="26"/>
      <c r="K95" s="27"/>
      <c r="L95" s="28"/>
    </row>
    <row r="96" spans="1:12" x14ac:dyDescent="0.25">
      <c r="A96" s="29" t="s">
        <v>106</v>
      </c>
      <c r="B96" s="30"/>
      <c r="C96" s="31">
        <f>($B$15+$B$16+$B$17+$B$18+$B$19+$B$22+$B$23+$B$24+$B$25+$B$26)*'Unit Prices'!$D$28</f>
        <v>439080</v>
      </c>
      <c r="D96" s="31">
        <f t="shared" ref="D96:K96" si="30">C96</f>
        <v>439080</v>
      </c>
      <c r="E96" s="31">
        <f t="shared" si="30"/>
        <v>439080</v>
      </c>
      <c r="F96" s="31">
        <f t="shared" si="30"/>
        <v>439080</v>
      </c>
      <c r="G96" s="31">
        <f t="shared" si="30"/>
        <v>439080</v>
      </c>
      <c r="H96" s="31">
        <f t="shared" si="30"/>
        <v>439080</v>
      </c>
      <c r="I96" s="31">
        <f t="shared" si="30"/>
        <v>439080</v>
      </c>
      <c r="J96" s="31">
        <f t="shared" si="30"/>
        <v>439080</v>
      </c>
      <c r="K96" s="31">
        <f t="shared" si="30"/>
        <v>439080</v>
      </c>
      <c r="L96" s="33">
        <f t="shared" ref="L96:L117" si="31">SUM(B96:K96)</f>
        <v>3951720</v>
      </c>
    </row>
    <row r="97" spans="1:12" x14ac:dyDescent="0.25">
      <c r="A97" s="51" t="s">
        <v>152</v>
      </c>
      <c r="B97" s="30"/>
      <c r="C97" s="31"/>
      <c r="D97" s="31">
        <f t="shared" ref="D97:K97" si="32">C97</f>
        <v>0</v>
      </c>
      <c r="E97" s="31">
        <f t="shared" si="32"/>
        <v>0</v>
      </c>
      <c r="F97" s="31">
        <f t="shared" si="32"/>
        <v>0</v>
      </c>
      <c r="G97" s="31">
        <f t="shared" si="32"/>
        <v>0</v>
      </c>
      <c r="H97" s="31">
        <f t="shared" si="32"/>
        <v>0</v>
      </c>
      <c r="I97" s="31">
        <f t="shared" si="32"/>
        <v>0</v>
      </c>
      <c r="J97" s="31">
        <f t="shared" si="32"/>
        <v>0</v>
      </c>
      <c r="K97" s="31">
        <f t="shared" si="32"/>
        <v>0</v>
      </c>
      <c r="L97" s="33">
        <f t="shared" si="31"/>
        <v>0</v>
      </c>
    </row>
    <row r="98" spans="1:12" x14ac:dyDescent="0.25">
      <c r="A98" s="34" t="s">
        <v>89</v>
      </c>
      <c r="B98" s="30"/>
      <c r="C98" s="31">
        <f>B71*'Case &amp; Scenario Parameters'!$B$59</f>
        <v>81250</v>
      </c>
      <c r="D98" s="31">
        <f t="shared" ref="D98:K98" si="33">C98</f>
        <v>81250</v>
      </c>
      <c r="E98" s="31">
        <f t="shared" si="33"/>
        <v>81250</v>
      </c>
      <c r="F98" s="31">
        <f t="shared" si="33"/>
        <v>81250</v>
      </c>
      <c r="G98" s="31">
        <f t="shared" si="33"/>
        <v>81250</v>
      </c>
      <c r="H98" s="31">
        <f t="shared" si="33"/>
        <v>81250</v>
      </c>
      <c r="I98" s="31">
        <f t="shared" si="33"/>
        <v>81250</v>
      </c>
      <c r="J98" s="31">
        <f t="shared" si="33"/>
        <v>81250</v>
      </c>
      <c r="K98" s="31">
        <f t="shared" si="33"/>
        <v>81250</v>
      </c>
      <c r="L98" s="33">
        <f t="shared" si="31"/>
        <v>731250</v>
      </c>
    </row>
    <row r="99" spans="1:12" x14ac:dyDescent="0.25">
      <c r="A99" s="34" t="s">
        <v>90</v>
      </c>
      <c r="B99" s="30"/>
      <c r="C99" s="31">
        <f>B72*'Case &amp; Scenario Parameters'!$B$59</f>
        <v>0</v>
      </c>
      <c r="D99" s="31">
        <f t="shared" ref="D99:K99" si="34">C99</f>
        <v>0</v>
      </c>
      <c r="E99" s="31">
        <f t="shared" si="34"/>
        <v>0</v>
      </c>
      <c r="F99" s="31">
        <f t="shared" si="34"/>
        <v>0</v>
      </c>
      <c r="G99" s="31">
        <f t="shared" si="34"/>
        <v>0</v>
      </c>
      <c r="H99" s="31">
        <f t="shared" si="34"/>
        <v>0</v>
      </c>
      <c r="I99" s="31">
        <f t="shared" si="34"/>
        <v>0</v>
      </c>
      <c r="J99" s="31">
        <f t="shared" si="34"/>
        <v>0</v>
      </c>
      <c r="K99" s="31">
        <f t="shared" si="34"/>
        <v>0</v>
      </c>
      <c r="L99" s="33">
        <f t="shared" si="31"/>
        <v>0</v>
      </c>
    </row>
    <row r="100" spans="1:12" x14ac:dyDescent="0.25">
      <c r="A100" s="35" t="s">
        <v>91</v>
      </c>
      <c r="B100" s="30"/>
      <c r="C100" s="31">
        <f>B73*'Case &amp; Scenario Parameters'!$B$59</f>
        <v>0</v>
      </c>
      <c r="D100" s="31">
        <f t="shared" ref="D100:K100" si="35">C100</f>
        <v>0</v>
      </c>
      <c r="E100" s="31">
        <f t="shared" si="35"/>
        <v>0</v>
      </c>
      <c r="F100" s="31">
        <f t="shared" si="35"/>
        <v>0</v>
      </c>
      <c r="G100" s="31">
        <f t="shared" si="35"/>
        <v>0</v>
      </c>
      <c r="H100" s="31">
        <f t="shared" si="35"/>
        <v>0</v>
      </c>
      <c r="I100" s="31">
        <f t="shared" si="35"/>
        <v>0</v>
      </c>
      <c r="J100" s="31">
        <f t="shared" si="35"/>
        <v>0</v>
      </c>
      <c r="K100" s="31">
        <f t="shared" si="35"/>
        <v>0</v>
      </c>
      <c r="L100" s="33">
        <f t="shared" si="31"/>
        <v>0</v>
      </c>
    </row>
    <row r="101" spans="1:12" x14ac:dyDescent="0.25">
      <c r="A101" s="34" t="s">
        <v>92</v>
      </c>
      <c r="B101" s="30"/>
      <c r="C101" s="31">
        <f>B74*'Case &amp; Scenario Parameters'!$B$59</f>
        <v>4250</v>
      </c>
      <c r="D101" s="31">
        <f t="shared" ref="D101:K101" si="36">C101</f>
        <v>4250</v>
      </c>
      <c r="E101" s="31">
        <f t="shared" si="36"/>
        <v>4250</v>
      </c>
      <c r="F101" s="31">
        <f t="shared" si="36"/>
        <v>4250</v>
      </c>
      <c r="G101" s="31">
        <f t="shared" si="36"/>
        <v>4250</v>
      </c>
      <c r="H101" s="31">
        <f t="shared" si="36"/>
        <v>4250</v>
      </c>
      <c r="I101" s="31">
        <f t="shared" si="36"/>
        <v>4250</v>
      </c>
      <c r="J101" s="31">
        <f t="shared" si="36"/>
        <v>4250</v>
      </c>
      <c r="K101" s="31">
        <f t="shared" si="36"/>
        <v>4250</v>
      </c>
      <c r="L101" s="33">
        <f t="shared" si="31"/>
        <v>38250</v>
      </c>
    </row>
    <row r="102" spans="1:12" x14ac:dyDescent="0.25">
      <c r="A102" s="34" t="s">
        <v>93</v>
      </c>
      <c r="B102" s="30"/>
      <c r="C102" s="31">
        <f>B75*'Case &amp; Scenario Parameters'!$B$59</f>
        <v>0</v>
      </c>
      <c r="D102" s="31">
        <f t="shared" ref="D102:K102" si="37">C102</f>
        <v>0</v>
      </c>
      <c r="E102" s="31">
        <f t="shared" si="37"/>
        <v>0</v>
      </c>
      <c r="F102" s="31">
        <f t="shared" si="37"/>
        <v>0</v>
      </c>
      <c r="G102" s="31">
        <f t="shared" si="37"/>
        <v>0</v>
      </c>
      <c r="H102" s="31">
        <f t="shared" si="37"/>
        <v>0</v>
      </c>
      <c r="I102" s="31">
        <f t="shared" si="37"/>
        <v>0</v>
      </c>
      <c r="J102" s="31">
        <f t="shared" si="37"/>
        <v>0</v>
      </c>
      <c r="K102" s="31">
        <f t="shared" si="37"/>
        <v>0</v>
      </c>
      <c r="L102" s="33">
        <f t="shared" si="31"/>
        <v>0</v>
      </c>
    </row>
    <row r="103" spans="1:12" x14ac:dyDescent="0.25">
      <c r="A103" s="29" t="s">
        <v>94</v>
      </c>
      <c r="B103" s="30"/>
      <c r="C103" s="31">
        <f>SUM(C98:C102)*'Unit Prices'!$D$9</f>
        <v>8550</v>
      </c>
      <c r="D103" s="31">
        <f t="shared" ref="D103:K103" si="38">C103</f>
        <v>8550</v>
      </c>
      <c r="E103" s="31">
        <f t="shared" si="38"/>
        <v>8550</v>
      </c>
      <c r="F103" s="31">
        <f t="shared" si="38"/>
        <v>8550</v>
      </c>
      <c r="G103" s="31">
        <f t="shared" si="38"/>
        <v>8550</v>
      </c>
      <c r="H103" s="31">
        <f t="shared" si="38"/>
        <v>8550</v>
      </c>
      <c r="I103" s="31">
        <f t="shared" si="38"/>
        <v>8550</v>
      </c>
      <c r="J103" s="31">
        <f t="shared" si="38"/>
        <v>8550</v>
      </c>
      <c r="K103" s="31">
        <f t="shared" si="38"/>
        <v>8550</v>
      </c>
      <c r="L103" s="33">
        <f t="shared" si="31"/>
        <v>76950</v>
      </c>
    </row>
    <row r="104" spans="1:12" x14ac:dyDescent="0.25">
      <c r="A104" s="51" t="s">
        <v>154</v>
      </c>
      <c r="B104" s="30"/>
      <c r="C104" s="31"/>
      <c r="D104" s="31">
        <f t="shared" ref="D104:K104" si="39">C104</f>
        <v>0</v>
      </c>
      <c r="E104" s="31">
        <f t="shared" si="39"/>
        <v>0</v>
      </c>
      <c r="F104" s="31">
        <f t="shared" si="39"/>
        <v>0</v>
      </c>
      <c r="G104" s="31">
        <f t="shared" si="39"/>
        <v>0</v>
      </c>
      <c r="H104" s="31">
        <f t="shared" si="39"/>
        <v>0</v>
      </c>
      <c r="I104" s="31">
        <f t="shared" si="39"/>
        <v>0</v>
      </c>
      <c r="J104" s="31">
        <f t="shared" si="39"/>
        <v>0</v>
      </c>
      <c r="K104" s="31">
        <f t="shared" si="39"/>
        <v>0</v>
      </c>
      <c r="L104" s="33">
        <f t="shared" si="31"/>
        <v>0</v>
      </c>
    </row>
    <row r="105" spans="1:12" x14ac:dyDescent="0.25">
      <c r="A105" s="34" t="s">
        <v>89</v>
      </c>
      <c r="B105" s="30"/>
      <c r="C105" s="31">
        <f>B78*'Case &amp; Scenario Parameters'!$B$59</f>
        <v>45000</v>
      </c>
      <c r="D105" s="31">
        <f t="shared" ref="D105:K105" si="40">C105</f>
        <v>45000</v>
      </c>
      <c r="E105" s="31">
        <f t="shared" si="40"/>
        <v>45000</v>
      </c>
      <c r="F105" s="31">
        <f t="shared" si="40"/>
        <v>45000</v>
      </c>
      <c r="G105" s="31">
        <f t="shared" si="40"/>
        <v>45000</v>
      </c>
      <c r="H105" s="31">
        <f t="shared" si="40"/>
        <v>45000</v>
      </c>
      <c r="I105" s="31">
        <f t="shared" si="40"/>
        <v>45000</v>
      </c>
      <c r="J105" s="31">
        <f t="shared" si="40"/>
        <v>45000</v>
      </c>
      <c r="K105" s="31">
        <f t="shared" si="40"/>
        <v>45000</v>
      </c>
      <c r="L105" s="33">
        <f t="shared" si="31"/>
        <v>405000</v>
      </c>
    </row>
    <row r="106" spans="1:12" x14ac:dyDescent="0.25">
      <c r="A106" s="34" t="s">
        <v>90</v>
      </c>
      <c r="B106" s="30"/>
      <c r="C106" s="31">
        <f>B79*'Case &amp; Scenario Parameters'!$B$59</f>
        <v>525000</v>
      </c>
      <c r="D106" s="31">
        <f t="shared" ref="D106:K106" si="41">C106</f>
        <v>525000</v>
      </c>
      <c r="E106" s="31">
        <f t="shared" si="41"/>
        <v>525000</v>
      </c>
      <c r="F106" s="31">
        <f t="shared" si="41"/>
        <v>525000</v>
      </c>
      <c r="G106" s="31">
        <f t="shared" si="41"/>
        <v>525000</v>
      </c>
      <c r="H106" s="31">
        <f t="shared" si="41"/>
        <v>525000</v>
      </c>
      <c r="I106" s="31">
        <f t="shared" si="41"/>
        <v>525000</v>
      </c>
      <c r="J106" s="31">
        <f t="shared" si="41"/>
        <v>525000</v>
      </c>
      <c r="K106" s="31">
        <f t="shared" si="41"/>
        <v>525000</v>
      </c>
      <c r="L106" s="33">
        <f t="shared" si="31"/>
        <v>4725000</v>
      </c>
    </row>
    <row r="107" spans="1:12" x14ac:dyDescent="0.25">
      <c r="A107" s="35" t="s">
        <v>91</v>
      </c>
      <c r="B107" s="30"/>
      <c r="C107" s="31">
        <f>B80*'Case &amp; Scenario Parameters'!$B$59</f>
        <v>25000</v>
      </c>
      <c r="D107" s="31">
        <f t="shared" ref="D107:K107" si="42">C107</f>
        <v>25000</v>
      </c>
      <c r="E107" s="31">
        <f t="shared" si="42"/>
        <v>25000</v>
      </c>
      <c r="F107" s="31">
        <f t="shared" si="42"/>
        <v>25000</v>
      </c>
      <c r="G107" s="31">
        <f t="shared" si="42"/>
        <v>25000</v>
      </c>
      <c r="H107" s="31">
        <f t="shared" si="42"/>
        <v>25000</v>
      </c>
      <c r="I107" s="31">
        <f t="shared" si="42"/>
        <v>25000</v>
      </c>
      <c r="J107" s="31">
        <f t="shared" si="42"/>
        <v>25000</v>
      </c>
      <c r="K107" s="31">
        <f t="shared" si="42"/>
        <v>25000</v>
      </c>
      <c r="L107" s="33">
        <f t="shared" si="31"/>
        <v>225000</v>
      </c>
    </row>
    <row r="108" spans="1:12" x14ac:dyDescent="0.25">
      <c r="A108" s="34" t="s">
        <v>92</v>
      </c>
      <c r="B108" s="30"/>
      <c r="C108" s="31">
        <f>B81*'Case &amp; Scenario Parameters'!$B$59</f>
        <v>0</v>
      </c>
      <c r="D108" s="31">
        <f t="shared" ref="D108:K108" si="43">C108</f>
        <v>0</v>
      </c>
      <c r="E108" s="31">
        <f t="shared" si="43"/>
        <v>0</v>
      </c>
      <c r="F108" s="31">
        <f t="shared" si="43"/>
        <v>0</v>
      </c>
      <c r="G108" s="31">
        <f t="shared" si="43"/>
        <v>0</v>
      </c>
      <c r="H108" s="31">
        <f t="shared" si="43"/>
        <v>0</v>
      </c>
      <c r="I108" s="31">
        <f t="shared" si="43"/>
        <v>0</v>
      </c>
      <c r="J108" s="31">
        <f t="shared" si="43"/>
        <v>0</v>
      </c>
      <c r="K108" s="31">
        <f t="shared" si="43"/>
        <v>0</v>
      </c>
      <c r="L108" s="33">
        <f t="shared" si="31"/>
        <v>0</v>
      </c>
    </row>
    <row r="109" spans="1:12" x14ac:dyDescent="0.25">
      <c r="A109" s="34" t="s">
        <v>93</v>
      </c>
      <c r="B109" s="30"/>
      <c r="C109" s="31">
        <f>B82*'Case &amp; Scenario Parameters'!$B$59</f>
        <v>0</v>
      </c>
      <c r="D109" s="31">
        <f t="shared" ref="D109:K109" si="44">C109</f>
        <v>0</v>
      </c>
      <c r="E109" s="31">
        <f t="shared" si="44"/>
        <v>0</v>
      </c>
      <c r="F109" s="31">
        <f t="shared" si="44"/>
        <v>0</v>
      </c>
      <c r="G109" s="31">
        <f t="shared" si="44"/>
        <v>0</v>
      </c>
      <c r="H109" s="31">
        <f t="shared" si="44"/>
        <v>0</v>
      </c>
      <c r="I109" s="31">
        <f t="shared" si="44"/>
        <v>0</v>
      </c>
      <c r="J109" s="31">
        <f t="shared" si="44"/>
        <v>0</v>
      </c>
      <c r="K109" s="31">
        <f t="shared" si="44"/>
        <v>0</v>
      </c>
      <c r="L109" s="33">
        <f t="shared" si="31"/>
        <v>0</v>
      </c>
    </row>
    <row r="110" spans="1:12" x14ac:dyDescent="0.25">
      <c r="A110" s="34" t="s">
        <v>95</v>
      </c>
      <c r="B110" s="30"/>
      <c r="C110" s="31">
        <f>SUM(C105:C109)*'Unit Prices'!$D$13</f>
        <v>59500</v>
      </c>
      <c r="D110" s="31">
        <f t="shared" ref="D110:K110" si="45">C110</f>
        <v>59500</v>
      </c>
      <c r="E110" s="31">
        <f t="shared" si="45"/>
        <v>59500</v>
      </c>
      <c r="F110" s="31">
        <f t="shared" si="45"/>
        <v>59500</v>
      </c>
      <c r="G110" s="31">
        <f t="shared" si="45"/>
        <v>59500</v>
      </c>
      <c r="H110" s="31">
        <f t="shared" si="45"/>
        <v>59500</v>
      </c>
      <c r="I110" s="31">
        <f t="shared" si="45"/>
        <v>59500</v>
      </c>
      <c r="J110" s="31">
        <f t="shared" si="45"/>
        <v>59500</v>
      </c>
      <c r="K110" s="31">
        <f t="shared" si="45"/>
        <v>59500</v>
      </c>
      <c r="L110" s="33">
        <f t="shared" si="31"/>
        <v>535500</v>
      </c>
    </row>
    <row r="111" spans="1:12" x14ac:dyDescent="0.25">
      <c r="A111" s="51" t="s">
        <v>154</v>
      </c>
      <c r="B111" s="30"/>
      <c r="C111" s="31"/>
      <c r="D111" s="31">
        <f t="shared" ref="D111:K111" si="46">C111</f>
        <v>0</v>
      </c>
      <c r="E111" s="31">
        <f t="shared" si="46"/>
        <v>0</v>
      </c>
      <c r="F111" s="31">
        <f t="shared" si="46"/>
        <v>0</v>
      </c>
      <c r="G111" s="31">
        <f t="shared" si="46"/>
        <v>0</v>
      </c>
      <c r="H111" s="31">
        <f t="shared" si="46"/>
        <v>0</v>
      </c>
      <c r="I111" s="31">
        <f t="shared" si="46"/>
        <v>0</v>
      </c>
      <c r="J111" s="31">
        <f t="shared" si="46"/>
        <v>0</v>
      </c>
      <c r="K111" s="31">
        <f t="shared" si="46"/>
        <v>0</v>
      </c>
      <c r="L111" s="33">
        <f t="shared" si="31"/>
        <v>0</v>
      </c>
    </row>
    <row r="112" spans="1:12" x14ac:dyDescent="0.25">
      <c r="A112" s="34" t="s">
        <v>97</v>
      </c>
      <c r="B112" s="30"/>
      <c r="C112" s="31">
        <f>B85*'Case &amp; Scenario Parameters'!$B$61</f>
        <v>15795</v>
      </c>
      <c r="D112" s="31">
        <f t="shared" ref="D112:K112" si="47">C112</f>
        <v>15795</v>
      </c>
      <c r="E112" s="31">
        <f t="shared" si="47"/>
        <v>15795</v>
      </c>
      <c r="F112" s="31">
        <f t="shared" si="47"/>
        <v>15795</v>
      </c>
      <c r="G112" s="31">
        <f t="shared" si="47"/>
        <v>15795</v>
      </c>
      <c r="H112" s="31">
        <f t="shared" si="47"/>
        <v>15795</v>
      </c>
      <c r="I112" s="31">
        <f t="shared" si="47"/>
        <v>15795</v>
      </c>
      <c r="J112" s="31">
        <f t="shared" si="47"/>
        <v>15795</v>
      </c>
      <c r="K112" s="31">
        <f t="shared" si="47"/>
        <v>15795</v>
      </c>
      <c r="L112" s="33">
        <f t="shared" si="31"/>
        <v>142155</v>
      </c>
    </row>
    <row r="113" spans="1:12" x14ac:dyDescent="0.25">
      <c r="A113" s="34" t="s">
        <v>98</v>
      </c>
      <c r="B113" s="30"/>
      <c r="C113" s="31">
        <f>B86*'Case &amp; Scenario Parameters'!$B$61</f>
        <v>94770</v>
      </c>
      <c r="D113" s="31">
        <f t="shared" ref="D113:K113" si="48">C113</f>
        <v>94770</v>
      </c>
      <c r="E113" s="31">
        <f t="shared" si="48"/>
        <v>94770</v>
      </c>
      <c r="F113" s="31">
        <f t="shared" si="48"/>
        <v>94770</v>
      </c>
      <c r="G113" s="31">
        <f t="shared" si="48"/>
        <v>94770</v>
      </c>
      <c r="H113" s="31">
        <f t="shared" si="48"/>
        <v>94770</v>
      </c>
      <c r="I113" s="31">
        <f t="shared" si="48"/>
        <v>94770</v>
      </c>
      <c r="J113" s="31">
        <f t="shared" si="48"/>
        <v>94770</v>
      </c>
      <c r="K113" s="31">
        <f t="shared" si="48"/>
        <v>94770</v>
      </c>
      <c r="L113" s="33">
        <f t="shared" si="31"/>
        <v>852930</v>
      </c>
    </row>
    <row r="114" spans="1:12" x14ac:dyDescent="0.25">
      <c r="A114" s="34" t="s">
        <v>108</v>
      </c>
      <c r="B114" s="30"/>
      <c r="C114" s="31">
        <f>SUM(C96:C113)*'Unit Prices'!$D$37</f>
        <v>194729.25</v>
      </c>
      <c r="D114" s="31">
        <f t="shared" ref="D114:K114" si="49">C114</f>
        <v>194729.25</v>
      </c>
      <c r="E114" s="31">
        <f t="shared" si="49"/>
        <v>194729.25</v>
      </c>
      <c r="F114" s="31">
        <f t="shared" si="49"/>
        <v>194729.25</v>
      </c>
      <c r="G114" s="31">
        <f t="shared" si="49"/>
        <v>194729.25</v>
      </c>
      <c r="H114" s="31">
        <f t="shared" si="49"/>
        <v>194729.25</v>
      </c>
      <c r="I114" s="31">
        <f t="shared" si="49"/>
        <v>194729.25</v>
      </c>
      <c r="J114" s="31">
        <f t="shared" si="49"/>
        <v>194729.25</v>
      </c>
      <c r="K114" s="31">
        <f t="shared" si="49"/>
        <v>194729.25</v>
      </c>
      <c r="L114" s="33">
        <f t="shared" si="31"/>
        <v>1752563.25</v>
      </c>
    </row>
    <row r="115" spans="1:12" x14ac:dyDescent="0.25">
      <c r="A115" s="51" t="s">
        <v>135</v>
      </c>
      <c r="B115" s="36">
        <f>B$119*$B$5*'Unit Prices'!$D$38</f>
        <v>0</v>
      </c>
      <c r="C115" s="36">
        <f>B115</f>
        <v>0</v>
      </c>
      <c r="D115" s="36">
        <f t="shared" ref="D115:K115" si="50">C115</f>
        <v>0</v>
      </c>
      <c r="E115" s="36">
        <f t="shared" si="50"/>
        <v>0</v>
      </c>
      <c r="F115" s="36">
        <f t="shared" si="50"/>
        <v>0</v>
      </c>
      <c r="G115" s="36">
        <f t="shared" si="50"/>
        <v>0</v>
      </c>
      <c r="H115" s="36">
        <f t="shared" si="50"/>
        <v>0</v>
      </c>
      <c r="I115" s="36">
        <f t="shared" si="50"/>
        <v>0</v>
      </c>
      <c r="J115" s="36">
        <f t="shared" si="50"/>
        <v>0</v>
      </c>
      <c r="K115" s="36">
        <f t="shared" si="50"/>
        <v>0</v>
      </c>
      <c r="L115" s="33">
        <f t="shared" si="31"/>
        <v>0</v>
      </c>
    </row>
    <row r="116" spans="1:12" x14ac:dyDescent="0.25">
      <c r="A116" s="51" t="s">
        <v>136</v>
      </c>
      <c r="B116" s="30">
        <f>B$119*'Unit Prices'!$D$39*$B$6</f>
        <v>0</v>
      </c>
      <c r="C116" s="73">
        <f>B116</f>
        <v>0</v>
      </c>
      <c r="D116" s="73">
        <f t="shared" ref="D116:K116" si="51">C116</f>
        <v>0</v>
      </c>
      <c r="E116" s="73">
        <f t="shared" si="51"/>
        <v>0</v>
      </c>
      <c r="F116" s="73">
        <f t="shared" si="51"/>
        <v>0</v>
      </c>
      <c r="G116" s="73">
        <f t="shared" si="51"/>
        <v>0</v>
      </c>
      <c r="H116" s="73">
        <f t="shared" si="51"/>
        <v>0</v>
      </c>
      <c r="I116" s="73">
        <f t="shared" si="51"/>
        <v>0</v>
      </c>
      <c r="J116" s="73">
        <f t="shared" si="51"/>
        <v>0</v>
      </c>
      <c r="K116" s="73">
        <f t="shared" si="51"/>
        <v>0</v>
      </c>
      <c r="L116" s="33">
        <f t="shared" si="31"/>
        <v>0</v>
      </c>
    </row>
    <row r="117" spans="1:12" x14ac:dyDescent="0.25">
      <c r="A117" s="37" t="s">
        <v>114</v>
      </c>
      <c r="B117" s="38">
        <f t="shared" ref="B117:K117" si="52">SUM(B71:B114)+B115+B116</f>
        <v>25827677.5</v>
      </c>
      <c r="C117" s="38">
        <f t="shared" si="52"/>
        <v>1492924.25</v>
      </c>
      <c r="D117" s="38">
        <f t="shared" si="52"/>
        <v>1492924.25</v>
      </c>
      <c r="E117" s="38">
        <f t="shared" si="52"/>
        <v>1492924.25</v>
      </c>
      <c r="F117" s="38">
        <f t="shared" si="52"/>
        <v>1492924.25</v>
      </c>
      <c r="G117" s="38">
        <f t="shared" si="52"/>
        <v>1492924.25</v>
      </c>
      <c r="H117" s="38">
        <f t="shared" si="52"/>
        <v>1492924.25</v>
      </c>
      <c r="I117" s="38">
        <f t="shared" si="52"/>
        <v>1492924.25</v>
      </c>
      <c r="J117" s="38">
        <f t="shared" si="52"/>
        <v>1492924.25</v>
      </c>
      <c r="K117" s="38">
        <f t="shared" si="52"/>
        <v>1492924.25</v>
      </c>
      <c r="L117" s="38">
        <f t="shared" si="31"/>
        <v>39263995.75</v>
      </c>
    </row>
    <row r="118" spans="1:12" x14ac:dyDescent="0.25">
      <c r="A118" s="24" t="s">
        <v>117</v>
      </c>
      <c r="B118" s="25"/>
      <c r="C118" s="26"/>
      <c r="D118" s="26"/>
      <c r="E118" s="26"/>
      <c r="F118" s="26"/>
      <c r="G118" s="26"/>
      <c r="H118" s="26"/>
      <c r="I118" s="26"/>
      <c r="J118" s="26"/>
      <c r="K118" s="27"/>
      <c r="L118" s="28"/>
    </row>
    <row r="119" spans="1:12" x14ac:dyDescent="0.25">
      <c r="A119" s="37" t="s">
        <v>115</v>
      </c>
      <c r="B119" s="38">
        <f>'Case &amp; Scenario Parameters'!$G$11*$B$4</f>
        <v>99315000</v>
      </c>
      <c r="C119" s="38">
        <f>'Case &amp; Scenario Parameters'!$G$11*$B$4</f>
        <v>99315000</v>
      </c>
      <c r="D119" s="38">
        <f>'Case &amp; Scenario Parameters'!$G$11*$B$4</f>
        <v>99315000</v>
      </c>
      <c r="E119" s="38">
        <f>'Case &amp; Scenario Parameters'!$G$11*$B$4</f>
        <v>99315000</v>
      </c>
      <c r="F119" s="38">
        <f>'Case &amp; Scenario Parameters'!$G$11*$B$4</f>
        <v>99315000</v>
      </c>
      <c r="G119" s="38">
        <f>'Case &amp; Scenario Parameters'!$G$11*$B$4</f>
        <v>99315000</v>
      </c>
      <c r="H119" s="38">
        <f>'Case &amp; Scenario Parameters'!$G$11*$B$4</f>
        <v>99315000</v>
      </c>
      <c r="I119" s="38">
        <f>'Case &amp; Scenario Parameters'!$G$11*$B$4</f>
        <v>99315000</v>
      </c>
      <c r="J119" s="38">
        <f>'Case &amp; Scenario Parameters'!$G$11*$B$4</f>
        <v>99315000</v>
      </c>
      <c r="K119" s="38">
        <f>'Case &amp; Scenario Parameters'!$G$11*$B$4</f>
        <v>99315000</v>
      </c>
      <c r="L119" s="41">
        <f>SUM(B119:K119)</f>
        <v>993150000</v>
      </c>
    </row>
    <row r="120" spans="1:12" ht="14.25" x14ac:dyDescent="0.2"/>
    <row r="121" spans="1:12" ht="14.25" x14ac:dyDescent="0.2"/>
    <row r="122" spans="1:12" ht="14.25" x14ac:dyDescent="0.2"/>
    <row r="123" spans="1:12" ht="14.25" x14ac:dyDescent="0.2"/>
    <row r="124" spans="1:12" ht="14.25" x14ac:dyDescent="0.2"/>
    <row r="125" spans="1:12" ht="14.25" x14ac:dyDescent="0.2"/>
    <row r="126" spans="1:12" ht="14.25" x14ac:dyDescent="0.2"/>
    <row r="127" spans="1:12" ht="14.25" x14ac:dyDescent="0.2"/>
  </sheetData>
  <sheetProtection algorithmName="SHA-512" hashValue="huiRBZyVXiyuzd5BXIaWgkYkiBjIONsHmhQR4WNMloCJZNj8dLAlRjjkuvaruoRXWDqMsCLUaDFrbzQdBNkCrw==" saltValue="BJ6xJenXUlHlTzy4X6lTGw==" spinCount="100000" sheet="1" objects="1" scenarios="1"/>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27"/>
  <sheetViews>
    <sheetView topLeftCell="A22" workbookViewId="0">
      <selection activeCell="D121" sqref="D121"/>
    </sheetView>
  </sheetViews>
  <sheetFormatPr defaultColWidth="12.625" defaultRowHeight="15" customHeight="1" x14ac:dyDescent="0.2"/>
  <cols>
    <col min="1" max="1" width="60.375" customWidth="1"/>
  </cols>
  <sheetData>
    <row r="1" spans="1:12" x14ac:dyDescent="0.25">
      <c r="A1" s="11" t="str">
        <f>'Case &amp; Scenario Parameters'!A26</f>
        <v>Scenario 1</v>
      </c>
      <c r="B1" s="11" t="str">
        <f>'Case &amp; Scenario Parameters'!B26</f>
        <v>Full service</v>
      </c>
      <c r="C1" s="11" t="str">
        <f>'Case &amp; Scenario Parameters'!C26</f>
        <v>No cash</v>
      </c>
    </row>
    <row r="2" spans="1:12" x14ac:dyDescent="0.25">
      <c r="A2" s="11" t="str">
        <f>'Case &amp; Scenario Parameters'!A27</f>
        <v>Fareboxes</v>
      </c>
      <c r="B2" s="72">
        <f>'Case &amp; Scenario Parameters'!B27</f>
        <v>0</v>
      </c>
      <c r="C2" s="72">
        <f>'Case &amp; Scenario Parameters'!C27</f>
        <v>1</v>
      </c>
    </row>
    <row r="3" spans="1:12" x14ac:dyDescent="0.25">
      <c r="A3" s="11" t="str">
        <f>'Case &amp; Scenario Parameters'!A28</f>
        <v>Ticket Vending Machines</v>
      </c>
      <c r="B3" s="72">
        <f>'Case &amp; Scenario Parameters'!B28</f>
        <v>0</v>
      </c>
      <c r="C3" s="72">
        <f>'Case &amp; Scenario Parameters'!C28</f>
        <v>1</v>
      </c>
    </row>
    <row r="4" spans="1:12" x14ac:dyDescent="0.25">
      <c r="A4" s="11" t="str">
        <f>'Case &amp; Scenario Parameters'!A29</f>
        <v>Share of existing riders able to use system```</v>
      </c>
      <c r="B4" s="72">
        <f>'Case &amp; Scenario Parameters'!B29</f>
        <v>0.92500000000000004</v>
      </c>
      <c r="C4" s="72"/>
    </row>
    <row r="5" spans="1:12" ht="15" customHeight="1" x14ac:dyDescent="0.25">
      <c r="A5" s="11" t="str">
        <f>'Case &amp; Scenario Parameters'!A30</f>
        <v>Percentage of Revene as Cash Handled by Agency</v>
      </c>
      <c r="B5" s="72">
        <f>'Case &amp; Scenario Parameters'!B30</f>
        <v>0</v>
      </c>
      <c r="C5" s="72"/>
    </row>
    <row r="6" spans="1:12" ht="15" customHeight="1" x14ac:dyDescent="0.25">
      <c r="A6" s="11" t="str">
        <f>'Case &amp; Scenario Parameters'!A31</f>
        <v>Percentage of Revene as Retail</v>
      </c>
      <c r="B6" s="72">
        <f>'Case &amp; Scenario Parameters'!B31</f>
        <v>7.0000000000000007E-2</v>
      </c>
      <c r="C6" s="72"/>
    </row>
    <row r="7" spans="1:12" ht="15" customHeight="1" x14ac:dyDescent="0.25">
      <c r="A7" s="9"/>
      <c r="B7" s="9"/>
      <c r="C7" s="9"/>
    </row>
    <row r="8" spans="1:12" x14ac:dyDescent="0.25">
      <c r="A8" s="9" t="s">
        <v>109</v>
      </c>
    </row>
    <row r="9" spans="1:12" x14ac:dyDescent="0.25">
      <c r="A9" s="9"/>
    </row>
    <row r="10" spans="1:12" ht="15.75" thickBot="1" x14ac:dyDescent="0.3">
      <c r="A10" s="71" t="s">
        <v>145</v>
      </c>
      <c r="C10" s="18"/>
      <c r="D10" s="18"/>
      <c r="E10" s="18"/>
      <c r="F10" s="18"/>
      <c r="G10" s="18"/>
      <c r="H10" s="18"/>
      <c r="I10" s="18"/>
      <c r="J10" s="18"/>
      <c r="K10" s="18"/>
    </row>
    <row r="11" spans="1:12" x14ac:dyDescent="0.25">
      <c r="A11" s="19"/>
      <c r="B11" s="20" t="s">
        <v>77</v>
      </c>
      <c r="C11" s="21" t="s">
        <v>78</v>
      </c>
      <c r="D11" s="21" t="s">
        <v>79</v>
      </c>
      <c r="E11" s="21" t="s">
        <v>80</v>
      </c>
      <c r="F11" s="21" t="s">
        <v>81</v>
      </c>
      <c r="G11" s="21" t="s">
        <v>82</v>
      </c>
      <c r="H11" s="21" t="s">
        <v>83</v>
      </c>
      <c r="I11" s="21" t="s">
        <v>84</v>
      </c>
      <c r="J11" s="21" t="s">
        <v>85</v>
      </c>
      <c r="K11" s="22" t="s">
        <v>88</v>
      </c>
      <c r="L11" s="23" t="s">
        <v>55</v>
      </c>
    </row>
    <row r="12" spans="1:12" x14ac:dyDescent="0.25">
      <c r="A12" s="24" t="s">
        <v>4</v>
      </c>
      <c r="B12" s="25"/>
      <c r="C12" s="26"/>
      <c r="D12" s="26"/>
      <c r="E12" s="26"/>
      <c r="F12" s="26"/>
      <c r="G12" s="26"/>
      <c r="H12" s="26"/>
      <c r="I12" s="26"/>
      <c r="J12" s="26"/>
      <c r="K12" s="27"/>
      <c r="L12" s="28"/>
    </row>
    <row r="13" spans="1:12" x14ac:dyDescent="0.25">
      <c r="A13" s="24" t="s">
        <v>10</v>
      </c>
      <c r="B13" s="25"/>
      <c r="C13" s="26"/>
      <c r="D13" s="26"/>
      <c r="E13" s="26"/>
      <c r="F13" s="26"/>
      <c r="G13" s="26"/>
      <c r="H13" s="26"/>
      <c r="I13" s="26"/>
      <c r="J13" s="26"/>
      <c r="K13" s="27"/>
      <c r="L13" s="28"/>
    </row>
    <row r="14" spans="1:12" x14ac:dyDescent="0.25">
      <c r="A14" s="34" t="s">
        <v>58</v>
      </c>
      <c r="B14" s="30"/>
      <c r="C14" s="31"/>
      <c r="D14" s="31"/>
      <c r="E14" s="31"/>
      <c r="F14" s="31"/>
      <c r="G14" s="31"/>
      <c r="H14" s="31"/>
      <c r="I14" s="31"/>
      <c r="J14" s="31"/>
      <c r="K14" s="32"/>
      <c r="L14" s="33"/>
    </row>
    <row r="15" spans="1:12" x14ac:dyDescent="0.25">
      <c r="A15" s="34" t="s">
        <v>89</v>
      </c>
      <c r="B15" s="30">
        <f>('Case &amp; Scenario Parameters'!$B$7*'Unit Prices'!$C$7*$B$2)+('Case &amp; Scenario Parameters'!$B$7*'Unit Prices'!$C$8*$C$2)</f>
        <v>1300000</v>
      </c>
      <c r="C15" s="31"/>
      <c r="D15" s="31"/>
      <c r="E15" s="31"/>
      <c r="F15" s="31"/>
      <c r="G15" s="31"/>
      <c r="H15" s="31"/>
      <c r="I15" s="31"/>
      <c r="J15" s="31"/>
      <c r="K15" s="32"/>
      <c r="L15" s="33">
        <f t="shared" ref="L15:L20" si="0">SUM(B15:K15)</f>
        <v>1300000</v>
      </c>
    </row>
    <row r="16" spans="1:12" x14ac:dyDescent="0.25">
      <c r="A16" s="34" t="s">
        <v>90</v>
      </c>
      <c r="B16" s="30">
        <f>('Case &amp; Scenario Parameters'!$C$7*'Unit Prices'!$C$7*$B$2)+('Case &amp; Scenario Parameters'!$C$7*'Unit Prices'!$C$8*$C$2)</f>
        <v>0</v>
      </c>
      <c r="C16" s="31"/>
      <c r="D16" s="31"/>
      <c r="E16" s="31"/>
      <c r="F16" s="31"/>
      <c r="G16" s="31"/>
      <c r="H16" s="31"/>
      <c r="I16" s="31"/>
      <c r="J16" s="31"/>
      <c r="K16" s="32"/>
      <c r="L16" s="33">
        <f t="shared" si="0"/>
        <v>0</v>
      </c>
    </row>
    <row r="17" spans="1:12" x14ac:dyDescent="0.25">
      <c r="A17" s="35" t="s">
        <v>91</v>
      </c>
      <c r="B17" s="30">
        <f>('Case &amp; Scenario Parameters'!$D$7*'Unit Prices'!$C$7*$B$2)+('Case &amp; Scenario Parameters'!$D$7*'Unit Prices'!$C$8*$C$2)</f>
        <v>0</v>
      </c>
      <c r="C17" s="31"/>
      <c r="D17" s="31"/>
      <c r="E17" s="31"/>
      <c r="F17" s="31"/>
      <c r="G17" s="31"/>
      <c r="H17" s="31"/>
      <c r="I17" s="31"/>
      <c r="J17" s="31"/>
      <c r="K17" s="32"/>
      <c r="L17" s="33">
        <f t="shared" si="0"/>
        <v>0</v>
      </c>
    </row>
    <row r="18" spans="1:12" x14ac:dyDescent="0.25">
      <c r="A18" s="34" t="s">
        <v>92</v>
      </c>
      <c r="B18" s="30">
        <f>('Case &amp; Scenario Parameters'!$E$7*'Unit Prices'!$C$7*$B$2)+('Case &amp; Scenario Parameters'!$E$7*'Unit Prices'!$C$8*$C$2)</f>
        <v>68000</v>
      </c>
      <c r="C18" s="31"/>
      <c r="D18" s="31"/>
      <c r="E18" s="31"/>
      <c r="F18" s="31"/>
      <c r="G18" s="31"/>
      <c r="H18" s="31"/>
      <c r="I18" s="31"/>
      <c r="J18" s="31"/>
      <c r="K18" s="32"/>
      <c r="L18" s="33">
        <f t="shared" si="0"/>
        <v>68000</v>
      </c>
    </row>
    <row r="19" spans="1:12" x14ac:dyDescent="0.25">
      <c r="A19" s="34" t="s">
        <v>93</v>
      </c>
      <c r="B19" s="30">
        <f>('Case &amp; Scenario Parameters'!$F$7*'Unit Prices'!$C$7*$B$2)+('Case &amp; Scenario Parameters'!$F$7*'Unit Prices'!$C$8*$C$2)</f>
        <v>0</v>
      </c>
      <c r="C19" s="31"/>
      <c r="D19" s="31"/>
      <c r="E19" s="31"/>
      <c r="F19" s="31"/>
      <c r="G19" s="31"/>
      <c r="H19" s="47" t="s">
        <v>113</v>
      </c>
      <c r="I19" s="31"/>
      <c r="J19" s="31"/>
      <c r="K19" s="32"/>
      <c r="L19" s="33">
        <f t="shared" si="0"/>
        <v>0</v>
      </c>
    </row>
    <row r="20" spans="1:12" x14ac:dyDescent="0.25">
      <c r="A20" s="34" t="s">
        <v>94</v>
      </c>
      <c r="B20" s="30">
        <f>SUM(B15:B19)*'Unit Prices'!$C$9</f>
        <v>41040</v>
      </c>
      <c r="C20" s="31"/>
      <c r="D20" s="31"/>
      <c r="E20" s="31"/>
      <c r="F20" s="31"/>
      <c r="G20" s="31"/>
      <c r="H20" s="31"/>
      <c r="I20" s="31"/>
      <c r="J20" s="31"/>
      <c r="K20" s="32"/>
      <c r="L20" s="33">
        <f t="shared" si="0"/>
        <v>41040</v>
      </c>
    </row>
    <row r="21" spans="1:12" x14ac:dyDescent="0.25">
      <c r="A21" s="34" t="s">
        <v>59</v>
      </c>
      <c r="B21" s="30"/>
      <c r="C21" s="31"/>
      <c r="D21" s="31"/>
      <c r="E21" s="31"/>
      <c r="F21" s="31"/>
      <c r="G21" s="31"/>
      <c r="H21" s="31"/>
      <c r="I21" s="31"/>
      <c r="J21" s="31"/>
      <c r="K21" s="32"/>
      <c r="L21" s="33"/>
    </row>
    <row r="22" spans="1:12" x14ac:dyDescent="0.25">
      <c r="A22" s="34" t="s">
        <v>89</v>
      </c>
      <c r="B22" s="30">
        <f>('Case &amp; Scenario Parameters'!$B$10*'Unit Prices'!$C$11*$B$3)+('Case &amp; Scenario Parameters'!$B$10*'Unit Prices'!$C$12*$C$3)</f>
        <v>450000</v>
      </c>
      <c r="C22" s="31"/>
      <c r="D22" s="31"/>
      <c r="E22" s="31"/>
      <c r="F22" s="31"/>
      <c r="G22" s="31"/>
      <c r="H22" s="31"/>
      <c r="I22" s="31"/>
      <c r="J22" s="31"/>
      <c r="K22" s="32"/>
      <c r="L22" s="33">
        <f t="shared" ref="L22:L27" si="1">SUM(B22:K22)</f>
        <v>450000</v>
      </c>
    </row>
    <row r="23" spans="1:12" x14ac:dyDescent="0.25">
      <c r="A23" s="34" t="s">
        <v>90</v>
      </c>
      <c r="B23" s="30">
        <f>('Case &amp; Scenario Parameters'!$C$10*'Unit Prices'!$C$11*$B$3)+('Case &amp; Scenario Parameters'!$C$10*'Unit Prices'!$C$12*$C$3)</f>
        <v>5250000</v>
      </c>
      <c r="C23" s="31"/>
      <c r="D23" s="31"/>
      <c r="E23" s="31"/>
      <c r="F23" s="31"/>
      <c r="G23" s="31"/>
      <c r="H23" s="31"/>
      <c r="I23" s="31"/>
      <c r="J23" s="31"/>
      <c r="K23" s="32"/>
      <c r="L23" s="33">
        <f t="shared" si="1"/>
        <v>5250000</v>
      </c>
    </row>
    <row r="24" spans="1:12" x14ac:dyDescent="0.25">
      <c r="A24" s="35" t="s">
        <v>91</v>
      </c>
      <c r="B24" s="30">
        <f>('Case &amp; Scenario Parameters'!$D$10*'Unit Prices'!$C$11*$B$3)+('Case &amp; Scenario Parameters'!$D$10*'Unit Prices'!$C$12*$C$3)</f>
        <v>250000</v>
      </c>
      <c r="C24" s="31"/>
      <c r="D24" s="31"/>
      <c r="E24" s="31"/>
      <c r="F24" s="31"/>
      <c r="G24" s="31"/>
      <c r="H24" s="31"/>
      <c r="I24" s="31"/>
      <c r="J24" s="31"/>
      <c r="K24" s="32"/>
      <c r="L24" s="33">
        <f t="shared" si="1"/>
        <v>250000</v>
      </c>
    </row>
    <row r="25" spans="1:12" x14ac:dyDescent="0.25">
      <c r="A25" s="34" t="s">
        <v>92</v>
      </c>
      <c r="B25" s="30">
        <f>('Case &amp; Scenario Parameters'!$E$10*'Unit Prices'!$C$11*$B$3)+('Case &amp; Scenario Parameters'!$E$10*'Unit Prices'!$C$12*$C$3)</f>
        <v>0</v>
      </c>
      <c r="C25" s="31"/>
      <c r="D25" s="31"/>
      <c r="E25" s="31"/>
      <c r="F25" s="31"/>
      <c r="G25" s="31"/>
      <c r="H25" s="31"/>
      <c r="I25" s="31"/>
      <c r="J25" s="31"/>
      <c r="K25" s="32"/>
      <c r="L25" s="33">
        <f t="shared" si="1"/>
        <v>0</v>
      </c>
    </row>
    <row r="26" spans="1:12" x14ac:dyDescent="0.25">
      <c r="A26" s="34" t="s">
        <v>93</v>
      </c>
      <c r="B26" s="30">
        <f>('Case &amp; Scenario Parameters'!$F$10*'Unit Prices'!$C$11*$B$3)+('Case &amp; Scenario Parameters'!$F$10*'Unit Prices'!$C$12*$C$3)</f>
        <v>0</v>
      </c>
      <c r="C26" s="31"/>
      <c r="D26" s="31"/>
      <c r="E26" s="31"/>
      <c r="F26" s="31"/>
      <c r="G26" s="31"/>
      <c r="H26" s="31"/>
      <c r="I26" s="31"/>
      <c r="J26" s="31"/>
      <c r="K26" s="32"/>
      <c r="L26" s="33">
        <f t="shared" si="1"/>
        <v>0</v>
      </c>
    </row>
    <row r="27" spans="1:12" x14ac:dyDescent="0.25">
      <c r="A27" s="34" t="s">
        <v>95</v>
      </c>
      <c r="B27" s="30">
        <f>SUM(B22:B26)*'Unit Prices'!$C$13</f>
        <v>178500</v>
      </c>
      <c r="C27" s="31"/>
      <c r="D27" s="31"/>
      <c r="E27" s="31"/>
      <c r="F27" s="31"/>
      <c r="G27" s="31"/>
      <c r="H27" s="31"/>
      <c r="I27" s="31"/>
      <c r="J27" s="31"/>
      <c r="K27" s="32"/>
      <c r="L27" s="33">
        <f t="shared" si="1"/>
        <v>178500</v>
      </c>
    </row>
    <row r="28" spans="1:12" x14ac:dyDescent="0.25">
      <c r="A28" s="34" t="s">
        <v>96</v>
      </c>
      <c r="B28" s="30"/>
      <c r="C28" s="31"/>
      <c r="D28" s="31"/>
      <c r="E28" s="31"/>
      <c r="F28" s="31"/>
      <c r="G28" s="31"/>
      <c r="H28" s="31"/>
      <c r="I28" s="31"/>
      <c r="J28" s="31"/>
      <c r="K28" s="32"/>
      <c r="L28" s="33"/>
    </row>
    <row r="29" spans="1:12" x14ac:dyDescent="0.25">
      <c r="A29" s="34" t="s">
        <v>97</v>
      </c>
      <c r="B29" s="30">
        <f>'Case &amp; Scenario Parameters'!$G$4*'Case &amp; Scenario Parameters'!$B$22*'Unit Prices'!$C$15*'Case &amp; Scenario Parameters'!$B$60</f>
        <v>25272</v>
      </c>
      <c r="C29" s="31"/>
      <c r="D29" s="31"/>
      <c r="E29" s="31"/>
      <c r="F29" s="31"/>
      <c r="G29" s="31"/>
      <c r="H29" s="31"/>
      <c r="I29" s="31"/>
      <c r="J29" s="31"/>
      <c r="K29" s="32"/>
      <c r="L29" s="33">
        <f t="shared" ref="L29:L38" si="2">SUM(B29:K29)</f>
        <v>25272</v>
      </c>
    </row>
    <row r="30" spans="1:12" x14ac:dyDescent="0.25">
      <c r="A30" s="34" t="s">
        <v>98</v>
      </c>
      <c r="B30" s="30">
        <f>'Case &amp; Scenario Parameters'!$G$4*'Case &amp; Scenario Parameters'!$B$22*'Unit Prices'!$C$16*'Case &amp; Scenario Parameters'!$B$60</f>
        <v>473850</v>
      </c>
      <c r="C30" s="31"/>
      <c r="D30" s="31"/>
      <c r="E30" s="31"/>
      <c r="F30" s="31"/>
      <c r="G30" s="31"/>
      <c r="H30" s="31"/>
      <c r="I30" s="31"/>
      <c r="J30" s="31"/>
      <c r="K30" s="32"/>
      <c r="L30" s="33">
        <f t="shared" si="2"/>
        <v>473850</v>
      </c>
    </row>
    <row r="31" spans="1:12" x14ac:dyDescent="0.25">
      <c r="A31" s="34" t="s">
        <v>99</v>
      </c>
      <c r="B31" s="30">
        <f>'Unit Prices'!$C$17</f>
        <v>100000</v>
      </c>
      <c r="C31" s="31"/>
      <c r="D31" s="31"/>
      <c r="E31" s="31"/>
      <c r="F31" s="31"/>
      <c r="G31" s="31"/>
      <c r="H31" s="31"/>
      <c r="I31" s="31"/>
      <c r="J31" s="31"/>
      <c r="K31" s="32"/>
      <c r="L31" s="33">
        <f t="shared" si="2"/>
        <v>100000</v>
      </c>
    </row>
    <row r="32" spans="1:12" x14ac:dyDescent="0.25">
      <c r="A32" s="34" t="s">
        <v>100</v>
      </c>
      <c r="B32" s="30">
        <f>($B$15+$B$16+$B$17+$B$18+$B$19+$B$22+$B$23+$B$24+$B$25+$B$26)*'Unit Prices'!$C$18</f>
        <v>731800</v>
      </c>
      <c r="C32" s="31"/>
      <c r="D32" s="31"/>
      <c r="E32" s="31"/>
      <c r="F32" s="31"/>
      <c r="G32" s="31"/>
      <c r="H32" s="31"/>
      <c r="I32" s="31"/>
      <c r="J32" s="31"/>
      <c r="K32" s="32"/>
      <c r="L32" s="33">
        <f t="shared" si="2"/>
        <v>731800</v>
      </c>
    </row>
    <row r="33" spans="1:12" x14ac:dyDescent="0.25">
      <c r="A33" s="34" t="s">
        <v>101</v>
      </c>
      <c r="B33" s="30">
        <f>($B$15+$B$16+$B$17+$B$18+$B$19+$B$22+$B$23+$B$24+$B$25+$B$26)*'Unit Prices'!$C$19</f>
        <v>731800</v>
      </c>
      <c r="C33" s="31"/>
      <c r="D33" s="31"/>
      <c r="E33" s="31"/>
      <c r="F33" s="31"/>
      <c r="G33" s="31"/>
      <c r="H33" s="31"/>
      <c r="I33" s="31"/>
      <c r="J33" s="31"/>
      <c r="K33" s="32"/>
      <c r="L33" s="33">
        <f t="shared" si="2"/>
        <v>731800</v>
      </c>
    </row>
    <row r="34" spans="1:12" x14ac:dyDescent="0.25">
      <c r="A34" s="34" t="s">
        <v>5</v>
      </c>
      <c r="B34" s="30">
        <f>'Unit Prices'!$C$20</f>
        <v>300000</v>
      </c>
      <c r="C34" s="31"/>
      <c r="D34" s="31"/>
      <c r="E34" s="31"/>
      <c r="F34" s="31"/>
      <c r="G34" s="31"/>
      <c r="H34" s="31"/>
      <c r="I34" s="31"/>
      <c r="J34" s="31"/>
      <c r="K34" s="32"/>
      <c r="L34" s="33">
        <f t="shared" si="2"/>
        <v>300000</v>
      </c>
    </row>
    <row r="35" spans="1:12" x14ac:dyDescent="0.25">
      <c r="A35" s="34" t="s">
        <v>102</v>
      </c>
      <c r="B35" s="30">
        <f>'Unit Prices'!$C$21</f>
        <v>35000</v>
      </c>
      <c r="C35" s="31"/>
      <c r="D35" s="31"/>
      <c r="E35" s="31"/>
      <c r="F35" s="31"/>
      <c r="G35" s="31"/>
      <c r="H35" s="31"/>
      <c r="I35" s="31"/>
      <c r="J35" s="31"/>
      <c r="K35" s="32"/>
      <c r="L35" s="33">
        <f t="shared" si="2"/>
        <v>35000</v>
      </c>
    </row>
    <row r="36" spans="1:12" x14ac:dyDescent="0.25">
      <c r="A36" s="34" t="s">
        <v>103</v>
      </c>
      <c r="B36" s="30">
        <f>'Unit Prices'!$C$22</f>
        <v>200000</v>
      </c>
      <c r="C36" s="31"/>
      <c r="D36" s="31"/>
      <c r="E36" s="31"/>
      <c r="F36" s="31"/>
      <c r="G36" s="31"/>
      <c r="H36" s="31"/>
      <c r="I36" s="31"/>
      <c r="J36" s="31"/>
      <c r="K36" s="32"/>
      <c r="L36" s="33">
        <f t="shared" si="2"/>
        <v>200000</v>
      </c>
    </row>
    <row r="37" spans="1:12" x14ac:dyDescent="0.25">
      <c r="A37" s="34" t="s">
        <v>104</v>
      </c>
      <c r="B37" s="30">
        <f>'Unit Prices'!$C$23</f>
        <v>300000</v>
      </c>
      <c r="C37" s="31"/>
      <c r="D37" s="31"/>
      <c r="E37" s="31"/>
      <c r="F37" s="31"/>
      <c r="G37" s="31"/>
      <c r="H37" s="31"/>
      <c r="I37" s="31"/>
      <c r="J37" s="31"/>
      <c r="K37" s="32"/>
      <c r="L37" s="33">
        <f t="shared" si="2"/>
        <v>300000</v>
      </c>
    </row>
    <row r="38" spans="1:12" x14ac:dyDescent="0.25">
      <c r="A38" s="34" t="s">
        <v>33</v>
      </c>
      <c r="B38" s="30">
        <f>SUM(B15:B37)*'Unit Prices'!$C$25</f>
        <v>1043526.2000000001</v>
      </c>
      <c r="C38" s="31"/>
      <c r="D38" s="31"/>
      <c r="E38" s="31"/>
      <c r="F38" s="31"/>
      <c r="G38" s="31"/>
      <c r="H38" s="31"/>
      <c r="I38" s="31"/>
      <c r="J38" s="31"/>
      <c r="K38" s="32"/>
      <c r="L38" s="33">
        <f t="shared" si="2"/>
        <v>1043526.2000000001</v>
      </c>
    </row>
    <row r="39" spans="1:12" x14ac:dyDescent="0.25">
      <c r="A39" s="24" t="s">
        <v>105</v>
      </c>
      <c r="B39" s="25"/>
      <c r="C39" s="26"/>
      <c r="D39" s="26"/>
      <c r="E39" s="26"/>
      <c r="F39" s="26"/>
      <c r="G39" s="26"/>
      <c r="H39" s="26"/>
      <c r="I39" s="26"/>
      <c r="J39" s="26"/>
      <c r="K39" s="27"/>
      <c r="L39" s="28"/>
    </row>
    <row r="40" spans="1:12" x14ac:dyDescent="0.25">
      <c r="A40" s="34" t="s">
        <v>106</v>
      </c>
      <c r="B40" s="30"/>
      <c r="C40" s="31">
        <f>($B$15+$B$16+$B$17+$B$18+$B$19+$B$22+$B$23+$B$24+$B$25+$B$26)*'Unit Prices'!$C$28</f>
        <v>365900</v>
      </c>
      <c r="D40" s="31">
        <f t="shared" ref="D40:K40" si="3">C40</f>
        <v>365900</v>
      </c>
      <c r="E40" s="31">
        <f t="shared" si="3"/>
        <v>365900</v>
      </c>
      <c r="F40" s="31">
        <f t="shared" si="3"/>
        <v>365900</v>
      </c>
      <c r="G40" s="31">
        <f t="shared" si="3"/>
        <v>365900</v>
      </c>
      <c r="H40" s="31">
        <f t="shared" si="3"/>
        <v>365900</v>
      </c>
      <c r="I40" s="31">
        <f t="shared" si="3"/>
        <v>365900</v>
      </c>
      <c r="J40" s="31">
        <f t="shared" si="3"/>
        <v>365900</v>
      </c>
      <c r="K40" s="31">
        <f t="shared" si="3"/>
        <v>365900</v>
      </c>
      <c r="L40" s="33">
        <f t="shared" ref="L40:L61" si="4">SUM(B40:K40)</f>
        <v>3293100</v>
      </c>
    </row>
    <row r="41" spans="1:12" x14ac:dyDescent="0.25">
      <c r="A41" s="34" t="s">
        <v>107</v>
      </c>
      <c r="B41" s="30"/>
      <c r="C41" s="31"/>
      <c r="D41" s="31">
        <f t="shared" ref="D41:K56" si="5">C41</f>
        <v>0</v>
      </c>
      <c r="E41" s="31">
        <f t="shared" si="5"/>
        <v>0</v>
      </c>
      <c r="F41" s="31">
        <f t="shared" si="5"/>
        <v>0</v>
      </c>
      <c r="G41" s="31">
        <f t="shared" si="5"/>
        <v>0</v>
      </c>
      <c r="H41" s="31">
        <f t="shared" si="5"/>
        <v>0</v>
      </c>
      <c r="I41" s="31">
        <f t="shared" si="5"/>
        <v>0</v>
      </c>
      <c r="J41" s="31">
        <f t="shared" si="5"/>
        <v>0</v>
      </c>
      <c r="K41" s="31">
        <f t="shared" si="5"/>
        <v>0</v>
      </c>
      <c r="L41" s="33">
        <f t="shared" si="4"/>
        <v>0</v>
      </c>
    </row>
    <row r="42" spans="1:12" x14ac:dyDescent="0.25">
      <c r="A42" s="34" t="s">
        <v>89</v>
      </c>
      <c r="B42" s="30"/>
      <c r="C42" s="31">
        <f>B15*'Case &amp; Scenario Parameters'!$B$59</f>
        <v>65000</v>
      </c>
      <c r="D42" s="31">
        <f t="shared" si="5"/>
        <v>65000</v>
      </c>
      <c r="E42" s="31">
        <f t="shared" si="5"/>
        <v>65000</v>
      </c>
      <c r="F42" s="31">
        <f t="shared" si="5"/>
        <v>65000</v>
      </c>
      <c r="G42" s="31">
        <f t="shared" si="5"/>
        <v>65000</v>
      </c>
      <c r="H42" s="31">
        <f t="shared" si="5"/>
        <v>65000</v>
      </c>
      <c r="I42" s="31">
        <f t="shared" si="5"/>
        <v>65000</v>
      </c>
      <c r="J42" s="31">
        <f t="shared" si="5"/>
        <v>65000</v>
      </c>
      <c r="K42" s="31">
        <f t="shared" si="5"/>
        <v>65000</v>
      </c>
      <c r="L42" s="33">
        <f t="shared" si="4"/>
        <v>585000</v>
      </c>
    </row>
    <row r="43" spans="1:12" x14ac:dyDescent="0.25">
      <c r="A43" s="34" t="s">
        <v>90</v>
      </c>
      <c r="B43" s="30"/>
      <c r="C43" s="31">
        <f>B16*'Case &amp; Scenario Parameters'!$B$59</f>
        <v>0</v>
      </c>
      <c r="D43" s="31">
        <f t="shared" si="5"/>
        <v>0</v>
      </c>
      <c r="E43" s="31">
        <f t="shared" si="5"/>
        <v>0</v>
      </c>
      <c r="F43" s="31">
        <f t="shared" si="5"/>
        <v>0</v>
      </c>
      <c r="G43" s="31">
        <f t="shared" si="5"/>
        <v>0</v>
      </c>
      <c r="H43" s="31">
        <f t="shared" si="5"/>
        <v>0</v>
      </c>
      <c r="I43" s="31">
        <f t="shared" si="5"/>
        <v>0</v>
      </c>
      <c r="J43" s="31">
        <f t="shared" si="5"/>
        <v>0</v>
      </c>
      <c r="K43" s="31">
        <f t="shared" si="5"/>
        <v>0</v>
      </c>
      <c r="L43" s="33">
        <f t="shared" si="4"/>
        <v>0</v>
      </c>
    </row>
    <row r="44" spans="1:12" x14ac:dyDescent="0.25">
      <c r="A44" s="35" t="s">
        <v>91</v>
      </c>
      <c r="B44" s="30"/>
      <c r="C44" s="31">
        <f>B17*'Case &amp; Scenario Parameters'!$B$59</f>
        <v>0</v>
      </c>
      <c r="D44" s="31">
        <f t="shared" si="5"/>
        <v>0</v>
      </c>
      <c r="E44" s="31">
        <f t="shared" si="5"/>
        <v>0</v>
      </c>
      <c r="F44" s="31">
        <f t="shared" si="5"/>
        <v>0</v>
      </c>
      <c r="G44" s="31">
        <f t="shared" si="5"/>
        <v>0</v>
      </c>
      <c r="H44" s="31">
        <f t="shared" si="5"/>
        <v>0</v>
      </c>
      <c r="I44" s="31">
        <f t="shared" si="5"/>
        <v>0</v>
      </c>
      <c r="J44" s="31">
        <f t="shared" si="5"/>
        <v>0</v>
      </c>
      <c r="K44" s="31">
        <f t="shared" si="5"/>
        <v>0</v>
      </c>
      <c r="L44" s="33">
        <f t="shared" si="4"/>
        <v>0</v>
      </c>
    </row>
    <row r="45" spans="1:12" x14ac:dyDescent="0.25">
      <c r="A45" s="34" t="s">
        <v>92</v>
      </c>
      <c r="B45" s="30"/>
      <c r="C45" s="31">
        <f>B18*'Case &amp; Scenario Parameters'!$B$59</f>
        <v>3400</v>
      </c>
      <c r="D45" s="31">
        <f t="shared" si="5"/>
        <v>3400</v>
      </c>
      <c r="E45" s="31">
        <f t="shared" si="5"/>
        <v>3400</v>
      </c>
      <c r="F45" s="31">
        <f t="shared" si="5"/>
        <v>3400</v>
      </c>
      <c r="G45" s="31">
        <f t="shared" si="5"/>
        <v>3400</v>
      </c>
      <c r="H45" s="31">
        <f t="shared" si="5"/>
        <v>3400</v>
      </c>
      <c r="I45" s="31">
        <f t="shared" si="5"/>
        <v>3400</v>
      </c>
      <c r="J45" s="31">
        <f t="shared" si="5"/>
        <v>3400</v>
      </c>
      <c r="K45" s="31">
        <f t="shared" si="5"/>
        <v>3400</v>
      </c>
      <c r="L45" s="33">
        <f t="shared" si="4"/>
        <v>30600</v>
      </c>
    </row>
    <row r="46" spans="1:12" x14ac:dyDescent="0.25">
      <c r="A46" s="34" t="s">
        <v>93</v>
      </c>
      <c r="B46" s="30"/>
      <c r="C46" s="31">
        <f>B19*'Case &amp; Scenario Parameters'!$B$59</f>
        <v>0</v>
      </c>
      <c r="D46" s="31">
        <f t="shared" si="5"/>
        <v>0</v>
      </c>
      <c r="E46" s="31">
        <f t="shared" si="5"/>
        <v>0</v>
      </c>
      <c r="F46" s="31">
        <f t="shared" si="5"/>
        <v>0</v>
      </c>
      <c r="G46" s="31">
        <f t="shared" si="5"/>
        <v>0</v>
      </c>
      <c r="H46" s="31">
        <f t="shared" si="5"/>
        <v>0</v>
      </c>
      <c r="I46" s="31">
        <f t="shared" si="5"/>
        <v>0</v>
      </c>
      <c r="J46" s="31">
        <f t="shared" si="5"/>
        <v>0</v>
      </c>
      <c r="K46" s="31">
        <f t="shared" si="5"/>
        <v>0</v>
      </c>
      <c r="L46" s="33">
        <f t="shared" si="4"/>
        <v>0</v>
      </c>
    </row>
    <row r="47" spans="1:12" x14ac:dyDescent="0.25">
      <c r="A47" s="34" t="s">
        <v>94</v>
      </c>
      <c r="B47" s="30"/>
      <c r="C47" s="31">
        <f>SUM(C42:C46)*'Unit Prices'!$C$9</f>
        <v>2052</v>
      </c>
      <c r="D47" s="31">
        <f t="shared" si="5"/>
        <v>2052</v>
      </c>
      <c r="E47" s="31">
        <f t="shared" si="5"/>
        <v>2052</v>
      </c>
      <c r="F47" s="31">
        <f t="shared" si="5"/>
        <v>2052</v>
      </c>
      <c r="G47" s="31">
        <f t="shared" si="5"/>
        <v>2052</v>
      </c>
      <c r="H47" s="31">
        <f t="shared" si="5"/>
        <v>2052</v>
      </c>
      <c r="I47" s="31">
        <f t="shared" si="5"/>
        <v>2052</v>
      </c>
      <c r="J47" s="31">
        <f t="shared" si="5"/>
        <v>2052</v>
      </c>
      <c r="K47" s="31">
        <f t="shared" si="5"/>
        <v>2052</v>
      </c>
      <c r="L47" s="33">
        <f t="shared" si="4"/>
        <v>18468</v>
      </c>
    </row>
    <row r="48" spans="1:12" x14ac:dyDescent="0.25">
      <c r="A48" s="51" t="s">
        <v>153</v>
      </c>
      <c r="B48" s="30"/>
      <c r="C48" s="31"/>
      <c r="D48" s="31">
        <f t="shared" si="5"/>
        <v>0</v>
      </c>
      <c r="E48" s="31">
        <f t="shared" si="5"/>
        <v>0</v>
      </c>
      <c r="F48" s="31">
        <f t="shared" si="5"/>
        <v>0</v>
      </c>
      <c r="G48" s="31">
        <f t="shared" si="5"/>
        <v>0</v>
      </c>
      <c r="H48" s="31">
        <f t="shared" si="5"/>
        <v>0</v>
      </c>
      <c r="I48" s="31">
        <f t="shared" si="5"/>
        <v>0</v>
      </c>
      <c r="J48" s="31">
        <f t="shared" si="5"/>
        <v>0</v>
      </c>
      <c r="K48" s="31">
        <f t="shared" si="5"/>
        <v>0</v>
      </c>
      <c r="L48" s="33">
        <f t="shared" si="4"/>
        <v>0</v>
      </c>
    </row>
    <row r="49" spans="1:12" x14ac:dyDescent="0.25">
      <c r="A49" s="34" t="s">
        <v>89</v>
      </c>
      <c r="B49" s="30"/>
      <c r="C49" s="31">
        <f>B22*'Case &amp; Scenario Parameters'!$B$59</f>
        <v>22500</v>
      </c>
      <c r="D49" s="31">
        <f t="shared" si="5"/>
        <v>22500</v>
      </c>
      <c r="E49" s="31">
        <f t="shared" si="5"/>
        <v>22500</v>
      </c>
      <c r="F49" s="31">
        <f t="shared" si="5"/>
        <v>22500</v>
      </c>
      <c r="G49" s="31">
        <f t="shared" si="5"/>
        <v>22500</v>
      </c>
      <c r="H49" s="31">
        <f t="shared" si="5"/>
        <v>22500</v>
      </c>
      <c r="I49" s="31">
        <f t="shared" si="5"/>
        <v>22500</v>
      </c>
      <c r="J49" s="31">
        <f t="shared" si="5"/>
        <v>22500</v>
      </c>
      <c r="K49" s="31">
        <f t="shared" si="5"/>
        <v>22500</v>
      </c>
      <c r="L49" s="33">
        <f t="shared" si="4"/>
        <v>202500</v>
      </c>
    </row>
    <row r="50" spans="1:12" x14ac:dyDescent="0.25">
      <c r="A50" s="34" t="s">
        <v>90</v>
      </c>
      <c r="B50" s="30"/>
      <c r="C50" s="31">
        <f>B23*'Case &amp; Scenario Parameters'!$B$59</f>
        <v>262500</v>
      </c>
      <c r="D50" s="31">
        <f t="shared" si="5"/>
        <v>262500</v>
      </c>
      <c r="E50" s="31">
        <f t="shared" si="5"/>
        <v>262500</v>
      </c>
      <c r="F50" s="31">
        <f t="shared" si="5"/>
        <v>262500</v>
      </c>
      <c r="G50" s="31">
        <f t="shared" si="5"/>
        <v>262500</v>
      </c>
      <c r="H50" s="31">
        <f t="shared" si="5"/>
        <v>262500</v>
      </c>
      <c r="I50" s="31">
        <f t="shared" si="5"/>
        <v>262500</v>
      </c>
      <c r="J50" s="31">
        <f t="shared" si="5"/>
        <v>262500</v>
      </c>
      <c r="K50" s="31">
        <f t="shared" si="5"/>
        <v>262500</v>
      </c>
      <c r="L50" s="33">
        <f t="shared" si="4"/>
        <v>2362500</v>
      </c>
    </row>
    <row r="51" spans="1:12" x14ac:dyDescent="0.25">
      <c r="A51" s="35" t="s">
        <v>91</v>
      </c>
      <c r="B51" s="30"/>
      <c r="C51" s="31">
        <f>B24*'Case &amp; Scenario Parameters'!$B$59</f>
        <v>12500</v>
      </c>
      <c r="D51" s="31">
        <f t="shared" si="5"/>
        <v>12500</v>
      </c>
      <c r="E51" s="31">
        <f t="shared" si="5"/>
        <v>12500</v>
      </c>
      <c r="F51" s="31">
        <f t="shared" si="5"/>
        <v>12500</v>
      </c>
      <c r="G51" s="31">
        <f t="shared" si="5"/>
        <v>12500</v>
      </c>
      <c r="H51" s="31">
        <f t="shared" si="5"/>
        <v>12500</v>
      </c>
      <c r="I51" s="31">
        <f t="shared" si="5"/>
        <v>12500</v>
      </c>
      <c r="J51" s="31">
        <f t="shared" si="5"/>
        <v>12500</v>
      </c>
      <c r="K51" s="31">
        <f t="shared" si="5"/>
        <v>12500</v>
      </c>
      <c r="L51" s="33">
        <f t="shared" si="4"/>
        <v>112500</v>
      </c>
    </row>
    <row r="52" spans="1:12" x14ac:dyDescent="0.25">
      <c r="A52" s="34" t="s">
        <v>92</v>
      </c>
      <c r="B52" s="30"/>
      <c r="C52" s="31">
        <f>B25*'Case &amp; Scenario Parameters'!$B$59</f>
        <v>0</v>
      </c>
      <c r="D52" s="31">
        <f t="shared" si="5"/>
        <v>0</v>
      </c>
      <c r="E52" s="31">
        <f t="shared" si="5"/>
        <v>0</v>
      </c>
      <c r="F52" s="31">
        <f t="shared" si="5"/>
        <v>0</v>
      </c>
      <c r="G52" s="31">
        <f t="shared" si="5"/>
        <v>0</v>
      </c>
      <c r="H52" s="31">
        <f t="shared" si="5"/>
        <v>0</v>
      </c>
      <c r="I52" s="31">
        <f t="shared" si="5"/>
        <v>0</v>
      </c>
      <c r="J52" s="31">
        <f t="shared" si="5"/>
        <v>0</v>
      </c>
      <c r="K52" s="31">
        <f t="shared" si="5"/>
        <v>0</v>
      </c>
      <c r="L52" s="33">
        <f t="shared" si="4"/>
        <v>0</v>
      </c>
    </row>
    <row r="53" spans="1:12" x14ac:dyDescent="0.25">
      <c r="A53" s="34" t="s">
        <v>93</v>
      </c>
      <c r="B53" s="30"/>
      <c r="C53" s="31">
        <f>B26*'Case &amp; Scenario Parameters'!$B$59</f>
        <v>0</v>
      </c>
      <c r="D53" s="31">
        <f t="shared" si="5"/>
        <v>0</v>
      </c>
      <c r="E53" s="31">
        <f t="shared" si="5"/>
        <v>0</v>
      </c>
      <c r="F53" s="31">
        <f t="shared" si="5"/>
        <v>0</v>
      </c>
      <c r="G53" s="31">
        <f t="shared" si="5"/>
        <v>0</v>
      </c>
      <c r="H53" s="31">
        <f t="shared" si="5"/>
        <v>0</v>
      </c>
      <c r="I53" s="31">
        <f t="shared" si="5"/>
        <v>0</v>
      </c>
      <c r="J53" s="31">
        <f t="shared" si="5"/>
        <v>0</v>
      </c>
      <c r="K53" s="31">
        <f t="shared" si="5"/>
        <v>0</v>
      </c>
      <c r="L53" s="33">
        <f t="shared" si="4"/>
        <v>0</v>
      </c>
    </row>
    <row r="54" spans="1:12" x14ac:dyDescent="0.25">
      <c r="A54" s="34" t="s">
        <v>95</v>
      </c>
      <c r="B54" s="30"/>
      <c r="C54" s="31">
        <f>SUM(C49:C53)*'Unit Prices'!$C$13</f>
        <v>8925</v>
      </c>
      <c r="D54" s="31">
        <f t="shared" si="5"/>
        <v>8925</v>
      </c>
      <c r="E54" s="31">
        <f t="shared" si="5"/>
        <v>8925</v>
      </c>
      <c r="F54" s="31">
        <f t="shared" si="5"/>
        <v>8925</v>
      </c>
      <c r="G54" s="31">
        <f t="shared" si="5"/>
        <v>8925</v>
      </c>
      <c r="H54" s="31">
        <f t="shared" si="5"/>
        <v>8925</v>
      </c>
      <c r="I54" s="31">
        <f t="shared" si="5"/>
        <v>8925</v>
      </c>
      <c r="J54" s="31">
        <f t="shared" si="5"/>
        <v>8925</v>
      </c>
      <c r="K54" s="31">
        <f t="shared" si="5"/>
        <v>8925</v>
      </c>
      <c r="L54" s="33">
        <f t="shared" si="4"/>
        <v>80325</v>
      </c>
    </row>
    <row r="55" spans="1:12" x14ac:dyDescent="0.25">
      <c r="A55" s="51" t="s">
        <v>154</v>
      </c>
      <c r="B55" s="30"/>
      <c r="C55" s="31"/>
      <c r="D55" s="31">
        <f t="shared" si="5"/>
        <v>0</v>
      </c>
      <c r="E55" s="31">
        <f t="shared" si="5"/>
        <v>0</v>
      </c>
      <c r="F55" s="31">
        <f t="shared" si="5"/>
        <v>0</v>
      </c>
      <c r="G55" s="31">
        <f t="shared" si="5"/>
        <v>0</v>
      </c>
      <c r="H55" s="31">
        <f t="shared" si="5"/>
        <v>0</v>
      </c>
      <c r="I55" s="31">
        <f t="shared" si="5"/>
        <v>0</v>
      </c>
      <c r="J55" s="31">
        <f t="shared" si="5"/>
        <v>0</v>
      </c>
      <c r="K55" s="31">
        <f t="shared" si="5"/>
        <v>0</v>
      </c>
      <c r="L55" s="33">
        <f t="shared" si="4"/>
        <v>0</v>
      </c>
    </row>
    <row r="56" spans="1:12" x14ac:dyDescent="0.25">
      <c r="A56" s="34" t="s">
        <v>97</v>
      </c>
      <c r="B56" s="30"/>
      <c r="C56" s="31">
        <f>B29*'Case &amp; Scenario Parameters'!$B$61</f>
        <v>2527.2000000000003</v>
      </c>
      <c r="D56" s="31">
        <f t="shared" si="5"/>
        <v>2527.2000000000003</v>
      </c>
      <c r="E56" s="31">
        <f t="shared" si="5"/>
        <v>2527.2000000000003</v>
      </c>
      <c r="F56" s="31">
        <f t="shared" si="5"/>
        <v>2527.2000000000003</v>
      </c>
      <c r="G56" s="31">
        <f t="shared" si="5"/>
        <v>2527.2000000000003</v>
      </c>
      <c r="H56" s="31">
        <f t="shared" si="5"/>
        <v>2527.2000000000003</v>
      </c>
      <c r="I56" s="31">
        <f t="shared" si="5"/>
        <v>2527.2000000000003</v>
      </c>
      <c r="J56" s="31">
        <f t="shared" si="5"/>
        <v>2527.2000000000003</v>
      </c>
      <c r="K56" s="31">
        <f t="shared" si="5"/>
        <v>2527.2000000000003</v>
      </c>
      <c r="L56" s="33">
        <f t="shared" si="4"/>
        <v>22744.800000000003</v>
      </c>
    </row>
    <row r="57" spans="1:12" x14ac:dyDescent="0.25">
      <c r="A57" s="34" t="s">
        <v>98</v>
      </c>
      <c r="B57" s="30"/>
      <c r="C57" s="31">
        <f>B30*'Case &amp; Scenario Parameters'!$B$61</f>
        <v>47385</v>
      </c>
      <c r="D57" s="31">
        <f t="shared" ref="D57:K60" si="6">C57</f>
        <v>47385</v>
      </c>
      <c r="E57" s="31">
        <f t="shared" si="6"/>
        <v>47385</v>
      </c>
      <c r="F57" s="31">
        <f t="shared" si="6"/>
        <v>47385</v>
      </c>
      <c r="G57" s="31">
        <f t="shared" si="6"/>
        <v>47385</v>
      </c>
      <c r="H57" s="31">
        <f t="shared" si="6"/>
        <v>47385</v>
      </c>
      <c r="I57" s="31">
        <f t="shared" si="6"/>
        <v>47385</v>
      </c>
      <c r="J57" s="31">
        <f t="shared" si="6"/>
        <v>47385</v>
      </c>
      <c r="K57" s="31">
        <f t="shared" si="6"/>
        <v>47385</v>
      </c>
      <c r="L57" s="33">
        <f t="shared" si="4"/>
        <v>426465</v>
      </c>
    </row>
    <row r="58" spans="1:12" x14ac:dyDescent="0.25">
      <c r="A58" s="34" t="s">
        <v>108</v>
      </c>
      <c r="B58" s="30"/>
      <c r="C58" s="31">
        <f>SUM(C40:C57)*'Unit Prices'!$C$37</f>
        <v>79268.92</v>
      </c>
      <c r="D58" s="31">
        <f t="shared" si="6"/>
        <v>79268.92</v>
      </c>
      <c r="E58" s="31">
        <f t="shared" si="6"/>
        <v>79268.92</v>
      </c>
      <c r="F58" s="31">
        <f t="shared" si="6"/>
        <v>79268.92</v>
      </c>
      <c r="G58" s="31">
        <f t="shared" si="6"/>
        <v>79268.92</v>
      </c>
      <c r="H58" s="31">
        <f t="shared" si="6"/>
        <v>79268.92</v>
      </c>
      <c r="I58" s="31">
        <f t="shared" si="6"/>
        <v>79268.92</v>
      </c>
      <c r="J58" s="31">
        <f t="shared" si="6"/>
        <v>79268.92</v>
      </c>
      <c r="K58" s="31">
        <f t="shared" si="6"/>
        <v>79268.92</v>
      </c>
      <c r="L58" s="33">
        <f t="shared" si="4"/>
        <v>713420.28</v>
      </c>
    </row>
    <row r="59" spans="1:12" x14ac:dyDescent="0.25">
      <c r="A59" s="51" t="s">
        <v>135</v>
      </c>
      <c r="B59" s="36">
        <f>B$63*$B$5*'Unit Prices'!$C$38</f>
        <v>0</v>
      </c>
      <c r="C59" s="36">
        <f>B59</f>
        <v>0</v>
      </c>
      <c r="D59" s="36">
        <f t="shared" si="6"/>
        <v>0</v>
      </c>
      <c r="E59" s="36">
        <f t="shared" si="6"/>
        <v>0</v>
      </c>
      <c r="F59" s="36">
        <f t="shared" si="6"/>
        <v>0</v>
      </c>
      <c r="G59" s="36">
        <f t="shared" si="6"/>
        <v>0</v>
      </c>
      <c r="H59" s="36">
        <f t="shared" si="6"/>
        <v>0</v>
      </c>
      <c r="I59" s="36">
        <f t="shared" si="6"/>
        <v>0</v>
      </c>
      <c r="J59" s="36">
        <f t="shared" si="6"/>
        <v>0</v>
      </c>
      <c r="K59" s="36">
        <f t="shared" si="6"/>
        <v>0</v>
      </c>
      <c r="L59" s="33">
        <f t="shared" si="4"/>
        <v>0</v>
      </c>
    </row>
    <row r="60" spans="1:12" x14ac:dyDescent="0.25">
      <c r="A60" s="51" t="s">
        <v>136</v>
      </c>
      <c r="B60" s="30">
        <f>B$63*'Unit Prices'!$C$39*$B$6</f>
        <v>357258.12500000006</v>
      </c>
      <c r="C60" s="73">
        <f>B60</f>
        <v>357258.12500000006</v>
      </c>
      <c r="D60" s="73">
        <f t="shared" si="6"/>
        <v>357258.12500000006</v>
      </c>
      <c r="E60" s="73">
        <f t="shared" si="6"/>
        <v>357258.12500000006</v>
      </c>
      <c r="F60" s="73">
        <f t="shared" si="6"/>
        <v>357258.12500000006</v>
      </c>
      <c r="G60" s="73">
        <f t="shared" si="6"/>
        <v>357258.12500000006</v>
      </c>
      <c r="H60" s="73">
        <f t="shared" si="6"/>
        <v>357258.12500000006</v>
      </c>
      <c r="I60" s="73">
        <f t="shared" si="6"/>
        <v>357258.12500000006</v>
      </c>
      <c r="J60" s="73">
        <f t="shared" si="6"/>
        <v>357258.12500000006</v>
      </c>
      <c r="K60" s="73">
        <f t="shared" si="6"/>
        <v>357258.12500000006</v>
      </c>
      <c r="L60" s="33">
        <f t="shared" si="4"/>
        <v>3572581.2500000005</v>
      </c>
    </row>
    <row r="61" spans="1:12" x14ac:dyDescent="0.25">
      <c r="A61" s="37" t="s">
        <v>114</v>
      </c>
      <c r="B61" s="38">
        <f t="shared" ref="B61:K61" si="7">SUM(B15:B58)+B59+B60</f>
        <v>11836046.324999999</v>
      </c>
      <c r="C61" s="39">
        <f t="shared" si="7"/>
        <v>1229216.2450000001</v>
      </c>
      <c r="D61" s="39">
        <f t="shared" si="7"/>
        <v>1229216.2450000001</v>
      </c>
      <c r="E61" s="39">
        <f t="shared" si="7"/>
        <v>1229216.2450000001</v>
      </c>
      <c r="F61" s="39">
        <f t="shared" si="7"/>
        <v>1229216.2450000001</v>
      </c>
      <c r="G61" s="39">
        <f t="shared" si="7"/>
        <v>1229216.2450000001</v>
      </c>
      <c r="H61" s="39">
        <f t="shared" si="7"/>
        <v>1229216.2450000001</v>
      </c>
      <c r="I61" s="39">
        <f t="shared" si="7"/>
        <v>1229216.2450000001</v>
      </c>
      <c r="J61" s="39">
        <f t="shared" si="7"/>
        <v>1229216.2450000001</v>
      </c>
      <c r="K61" s="40">
        <f t="shared" si="7"/>
        <v>1229216.2450000001</v>
      </c>
      <c r="L61" s="41">
        <f t="shared" si="4"/>
        <v>22898992.530000009</v>
      </c>
    </row>
    <row r="62" spans="1:12" x14ac:dyDescent="0.25">
      <c r="A62" s="24" t="s">
        <v>117</v>
      </c>
      <c r="B62" s="25"/>
      <c r="C62" s="26"/>
      <c r="D62" s="26"/>
      <c r="E62" s="26"/>
      <c r="F62" s="26"/>
      <c r="G62" s="26"/>
      <c r="H62" s="26"/>
      <c r="I62" s="26"/>
      <c r="J62" s="26"/>
      <c r="K62" s="27"/>
      <c r="L62" s="28"/>
    </row>
    <row r="63" spans="1:12" x14ac:dyDescent="0.25">
      <c r="A63" s="37" t="s">
        <v>115</v>
      </c>
      <c r="B63" s="38">
        <f>'Case &amp; Scenario Parameters'!$G$11*$B$4</f>
        <v>102073750</v>
      </c>
      <c r="C63" s="38">
        <f>'Case &amp; Scenario Parameters'!$G$11*$B$4</f>
        <v>102073750</v>
      </c>
      <c r="D63" s="38">
        <f>'Case &amp; Scenario Parameters'!$G$11*$B$4</f>
        <v>102073750</v>
      </c>
      <c r="E63" s="38">
        <f>'Case &amp; Scenario Parameters'!$G$11*$B$4</f>
        <v>102073750</v>
      </c>
      <c r="F63" s="38">
        <f>'Case &amp; Scenario Parameters'!$G$11*$B$4</f>
        <v>102073750</v>
      </c>
      <c r="G63" s="38">
        <f>'Case &amp; Scenario Parameters'!$G$11*$B$4</f>
        <v>102073750</v>
      </c>
      <c r="H63" s="38">
        <f>'Case &amp; Scenario Parameters'!$G$11*$B$4</f>
        <v>102073750</v>
      </c>
      <c r="I63" s="38">
        <f>'Case &amp; Scenario Parameters'!$G$11*$B$4</f>
        <v>102073750</v>
      </c>
      <c r="J63" s="38">
        <f>'Case &amp; Scenario Parameters'!$G$11*$B$4</f>
        <v>102073750</v>
      </c>
      <c r="K63" s="38">
        <f>'Case &amp; Scenario Parameters'!$G$11*$B$4</f>
        <v>102073750</v>
      </c>
      <c r="L63" s="41">
        <f>SUM(B63:K63)</f>
        <v>1020737500</v>
      </c>
    </row>
    <row r="64" spans="1:12" x14ac:dyDescent="0.25">
      <c r="A64" s="42"/>
      <c r="B64" s="30"/>
      <c r="C64" s="31"/>
      <c r="D64" s="31"/>
      <c r="E64" s="31"/>
      <c r="F64" s="31"/>
      <c r="G64" s="31"/>
      <c r="H64" s="31"/>
      <c r="I64" s="31"/>
      <c r="J64" s="31"/>
      <c r="K64" s="32"/>
      <c r="L64" s="33"/>
    </row>
    <row r="65" spans="1:12" ht="14.25" x14ac:dyDescent="0.2"/>
    <row r="66" spans="1:12" ht="15.75" thickBot="1" x14ac:dyDescent="0.3">
      <c r="A66" s="71" t="s">
        <v>146</v>
      </c>
      <c r="C66" s="18"/>
      <c r="D66" s="18"/>
      <c r="E66" s="18"/>
      <c r="F66" s="18"/>
      <c r="G66" s="18"/>
      <c r="H66" s="18"/>
      <c r="I66" s="18"/>
      <c r="J66" s="18"/>
      <c r="K66" s="18"/>
    </row>
    <row r="67" spans="1:12" x14ac:dyDescent="0.25">
      <c r="A67" s="19"/>
      <c r="B67" s="20" t="s">
        <v>77</v>
      </c>
      <c r="C67" s="21" t="s">
        <v>78</v>
      </c>
      <c r="D67" s="21" t="s">
        <v>79</v>
      </c>
      <c r="E67" s="21" t="s">
        <v>80</v>
      </c>
      <c r="F67" s="21" t="s">
        <v>81</v>
      </c>
      <c r="G67" s="21" t="s">
        <v>82</v>
      </c>
      <c r="H67" s="21" t="s">
        <v>83</v>
      </c>
      <c r="I67" s="21" t="s">
        <v>84</v>
      </c>
      <c r="J67" s="21" t="s">
        <v>85</v>
      </c>
      <c r="K67" s="22" t="s">
        <v>88</v>
      </c>
      <c r="L67" s="23" t="s">
        <v>55</v>
      </c>
    </row>
    <row r="68" spans="1:12" ht="15" customHeight="1" x14ac:dyDescent="0.25">
      <c r="A68" s="24" t="s">
        <v>4</v>
      </c>
      <c r="B68" s="25"/>
      <c r="C68" s="26"/>
      <c r="D68" s="26"/>
      <c r="E68" s="26"/>
      <c r="F68" s="26"/>
      <c r="G68" s="26"/>
      <c r="H68" s="26"/>
      <c r="I68" s="26"/>
      <c r="J68" s="26"/>
      <c r="K68" s="27"/>
      <c r="L68" s="28"/>
    </row>
    <row r="69" spans="1:12" ht="15" customHeight="1" x14ac:dyDescent="0.25">
      <c r="A69" s="24" t="s">
        <v>10</v>
      </c>
      <c r="B69" s="25"/>
      <c r="C69" s="26"/>
      <c r="D69" s="26"/>
      <c r="E69" s="26"/>
      <c r="F69" s="26"/>
      <c r="G69" s="26"/>
      <c r="H69" s="26"/>
      <c r="I69" s="26"/>
      <c r="J69" s="26"/>
      <c r="K69" s="27"/>
      <c r="L69" s="28"/>
    </row>
    <row r="70" spans="1:12" x14ac:dyDescent="0.25">
      <c r="A70" s="34" t="s">
        <v>58</v>
      </c>
      <c r="B70" s="30"/>
      <c r="C70" s="31"/>
      <c r="D70" s="31"/>
      <c r="E70" s="31"/>
      <c r="F70" s="31"/>
      <c r="G70" s="31"/>
      <c r="H70" s="31"/>
      <c r="I70" s="31"/>
      <c r="J70" s="31"/>
      <c r="K70" s="32"/>
      <c r="L70" s="33"/>
    </row>
    <row r="71" spans="1:12" x14ac:dyDescent="0.25">
      <c r="A71" s="34" t="s">
        <v>89</v>
      </c>
      <c r="B71" s="30">
        <f>('Case &amp; Scenario Parameters'!$B$7*'Unit Prices'!$D$7*$B$2)+('Case &amp; Scenario Parameters'!$B$7*'Unit Prices'!$D$8*$C$2)</f>
        <v>1625000</v>
      </c>
      <c r="C71" s="31"/>
      <c r="D71" s="31"/>
      <c r="E71" s="31"/>
      <c r="F71" s="31"/>
      <c r="G71" s="31"/>
      <c r="H71" s="31"/>
      <c r="I71" s="31"/>
      <c r="J71" s="31"/>
      <c r="K71" s="32"/>
      <c r="L71" s="33">
        <f t="shared" ref="L71:L76" si="8">SUM(B71:K71)</f>
        <v>1625000</v>
      </c>
    </row>
    <row r="72" spans="1:12" x14ac:dyDescent="0.25">
      <c r="A72" s="34" t="s">
        <v>90</v>
      </c>
      <c r="B72" s="30">
        <f>('Case &amp; Scenario Parameters'!$C$7*'Unit Prices'!$D$7*$B$2)+('Case &amp; Scenario Parameters'!$C$7*'Unit Prices'!$D$8*$C$2)</f>
        <v>0</v>
      </c>
      <c r="C72" s="31"/>
      <c r="D72" s="31"/>
      <c r="E72" s="31"/>
      <c r="F72" s="31"/>
      <c r="G72" s="31"/>
      <c r="H72" s="31"/>
      <c r="I72" s="31"/>
      <c r="J72" s="31"/>
      <c r="K72" s="32"/>
      <c r="L72" s="33">
        <f t="shared" si="8"/>
        <v>0</v>
      </c>
    </row>
    <row r="73" spans="1:12" x14ac:dyDescent="0.25">
      <c r="A73" s="35" t="s">
        <v>91</v>
      </c>
      <c r="B73" s="30">
        <f>('Case &amp; Scenario Parameters'!$D$7*'Unit Prices'!$D$7*$B$2)+('Case &amp; Scenario Parameters'!$D$7*'Unit Prices'!$D$8*$C$2)</f>
        <v>0</v>
      </c>
      <c r="C73" s="31"/>
      <c r="D73" s="31"/>
      <c r="E73" s="31"/>
      <c r="F73" s="31"/>
      <c r="G73" s="31"/>
      <c r="H73" s="31"/>
      <c r="I73" s="31"/>
      <c r="J73" s="31"/>
      <c r="K73" s="32"/>
      <c r="L73" s="33">
        <f t="shared" si="8"/>
        <v>0</v>
      </c>
    </row>
    <row r="74" spans="1:12" x14ac:dyDescent="0.25">
      <c r="A74" s="34" t="s">
        <v>92</v>
      </c>
      <c r="B74" s="30">
        <f>('Case &amp; Scenario Parameters'!$E$7*'Unit Prices'!$D$7*$B$2)+('Case &amp; Scenario Parameters'!$E$7*'Unit Prices'!$D$8*$C$2)</f>
        <v>85000</v>
      </c>
      <c r="C74" s="31"/>
      <c r="D74" s="31"/>
      <c r="E74" s="31"/>
      <c r="F74" s="31"/>
      <c r="G74" s="31"/>
      <c r="H74" s="31"/>
      <c r="I74" s="31"/>
      <c r="J74" s="31"/>
      <c r="K74" s="32"/>
      <c r="L74" s="33">
        <f t="shared" si="8"/>
        <v>85000</v>
      </c>
    </row>
    <row r="75" spans="1:12" x14ac:dyDescent="0.25">
      <c r="A75" s="34" t="s">
        <v>93</v>
      </c>
      <c r="B75" s="30">
        <f>('Case &amp; Scenario Parameters'!$F$7*'Unit Prices'!$D$7*$B$2)+('Case &amp; Scenario Parameters'!$F$7*'Unit Prices'!$D$8*$C$2)</f>
        <v>0</v>
      </c>
      <c r="C75" s="31"/>
      <c r="D75" s="31"/>
      <c r="E75" s="31"/>
      <c r="F75" s="31"/>
      <c r="G75" s="31"/>
      <c r="H75" s="31"/>
      <c r="I75" s="31"/>
      <c r="J75" s="31"/>
      <c r="K75" s="32"/>
      <c r="L75" s="33">
        <f t="shared" si="8"/>
        <v>0</v>
      </c>
    </row>
    <row r="76" spans="1:12" x14ac:dyDescent="0.25">
      <c r="A76" s="34" t="s">
        <v>94</v>
      </c>
      <c r="B76" s="30">
        <f>SUM(B71:B75)*'Unit Prices'!$D$9</f>
        <v>171000</v>
      </c>
      <c r="C76" s="31"/>
      <c r="D76" s="31"/>
      <c r="E76" s="31"/>
      <c r="F76" s="31"/>
      <c r="G76" s="31"/>
      <c r="H76" s="31"/>
      <c r="I76" s="31"/>
      <c r="J76" s="31"/>
      <c r="K76" s="32"/>
      <c r="L76" s="33">
        <f t="shared" si="8"/>
        <v>171000</v>
      </c>
    </row>
    <row r="77" spans="1:12" x14ac:dyDescent="0.25">
      <c r="A77" s="34" t="s">
        <v>59</v>
      </c>
      <c r="B77" s="30"/>
      <c r="C77" s="31"/>
      <c r="D77" s="31"/>
      <c r="E77" s="31"/>
      <c r="F77" s="31"/>
      <c r="G77" s="31"/>
      <c r="H77" s="31"/>
      <c r="I77" s="31"/>
      <c r="J77" s="31"/>
      <c r="K77" s="32"/>
      <c r="L77" s="33"/>
    </row>
    <row r="78" spans="1:12" x14ac:dyDescent="0.25">
      <c r="A78" s="34" t="s">
        <v>89</v>
      </c>
      <c r="B78" s="30">
        <f>('Case &amp; Scenario Parameters'!$B$10*'Unit Prices'!$D$11*$B$3)+('Case &amp; Scenario Parameters'!$B$10*'Unit Prices'!$D$12*$C$3)</f>
        <v>900000</v>
      </c>
      <c r="C78" s="31"/>
      <c r="D78" s="31"/>
      <c r="E78" s="31"/>
      <c r="F78" s="31"/>
      <c r="G78" s="31"/>
      <c r="H78" s="31"/>
      <c r="I78" s="31"/>
      <c r="J78" s="31"/>
      <c r="K78" s="32"/>
      <c r="L78" s="33">
        <f t="shared" ref="L78:L83" si="9">SUM(B78:K78)</f>
        <v>900000</v>
      </c>
    </row>
    <row r="79" spans="1:12" x14ac:dyDescent="0.25">
      <c r="A79" s="34" t="s">
        <v>90</v>
      </c>
      <c r="B79" s="30">
        <f>('Case &amp; Scenario Parameters'!$C$10*'Unit Prices'!$D$11*$B$3)+('Case &amp; Scenario Parameters'!$C$10*'Unit Prices'!$D$12*$C$3)</f>
        <v>10500000</v>
      </c>
      <c r="C79" s="31"/>
      <c r="D79" s="31"/>
      <c r="E79" s="31"/>
      <c r="F79" s="31"/>
      <c r="G79" s="31"/>
      <c r="H79" s="31"/>
      <c r="I79" s="31"/>
      <c r="J79" s="31"/>
      <c r="K79" s="32"/>
      <c r="L79" s="33">
        <f t="shared" si="9"/>
        <v>10500000</v>
      </c>
    </row>
    <row r="80" spans="1:12" x14ac:dyDescent="0.25">
      <c r="A80" s="35" t="s">
        <v>91</v>
      </c>
      <c r="B80" s="30">
        <f>('Case &amp; Scenario Parameters'!$D$10*'Unit Prices'!$D$11*$B$3)+('Case &amp; Scenario Parameters'!$D$10*'Unit Prices'!$D$12*$C$3)</f>
        <v>500000</v>
      </c>
      <c r="C80" s="31"/>
      <c r="D80" s="31"/>
      <c r="E80" s="31"/>
      <c r="F80" s="31"/>
      <c r="G80" s="31"/>
      <c r="H80" s="31"/>
      <c r="I80" s="31"/>
      <c r="J80" s="31"/>
      <c r="K80" s="32"/>
      <c r="L80" s="33">
        <f t="shared" si="9"/>
        <v>500000</v>
      </c>
    </row>
    <row r="81" spans="1:12" x14ac:dyDescent="0.25">
      <c r="A81" s="34" t="s">
        <v>92</v>
      </c>
      <c r="B81" s="30">
        <f>('Case &amp; Scenario Parameters'!$E$10*'Unit Prices'!$D$11*$B$3)+('Case &amp; Scenario Parameters'!$E$10*'Unit Prices'!$D$12*$C$3)</f>
        <v>0</v>
      </c>
      <c r="C81" s="31"/>
      <c r="D81" s="31"/>
      <c r="E81" s="31"/>
      <c r="F81" s="31"/>
      <c r="G81" s="31"/>
      <c r="H81" s="31"/>
      <c r="I81" s="31"/>
      <c r="J81" s="31"/>
      <c r="K81" s="32"/>
      <c r="L81" s="33">
        <f t="shared" si="9"/>
        <v>0</v>
      </c>
    </row>
    <row r="82" spans="1:12" x14ac:dyDescent="0.25">
      <c r="A82" s="34" t="s">
        <v>93</v>
      </c>
      <c r="B82" s="30">
        <f>('Case &amp; Scenario Parameters'!$F$10*'Unit Prices'!$D$11*$B$3)+('Case &amp; Scenario Parameters'!$F$10*'Unit Prices'!$D$12*$C$3)</f>
        <v>0</v>
      </c>
      <c r="C82" s="31"/>
      <c r="D82" s="31"/>
      <c r="E82" s="31"/>
      <c r="F82" s="31"/>
      <c r="G82" s="31"/>
      <c r="H82" s="31"/>
      <c r="I82" s="31"/>
      <c r="J82" s="31"/>
      <c r="K82" s="32"/>
      <c r="L82" s="33">
        <f t="shared" si="9"/>
        <v>0</v>
      </c>
    </row>
    <row r="83" spans="1:12" x14ac:dyDescent="0.25">
      <c r="A83" s="34" t="s">
        <v>95</v>
      </c>
      <c r="B83" s="30">
        <f>SUM(B78:B82)*'Unit Prices'!$D$13</f>
        <v>1190000</v>
      </c>
      <c r="C83" s="31"/>
      <c r="D83" s="31"/>
      <c r="E83" s="31"/>
      <c r="F83" s="31"/>
      <c r="G83" s="31"/>
      <c r="H83" s="31"/>
      <c r="I83" s="31"/>
      <c r="J83" s="31"/>
      <c r="K83" s="32"/>
      <c r="L83" s="33">
        <f t="shared" si="9"/>
        <v>1190000</v>
      </c>
    </row>
    <row r="84" spans="1:12" x14ac:dyDescent="0.25">
      <c r="A84" s="34" t="s">
        <v>96</v>
      </c>
      <c r="B84" s="30"/>
      <c r="C84" s="31"/>
      <c r="D84" s="31"/>
      <c r="E84" s="31"/>
      <c r="F84" s="31"/>
      <c r="G84" s="31"/>
      <c r="H84" s="31"/>
      <c r="I84" s="31"/>
      <c r="J84" s="31"/>
      <c r="K84" s="32"/>
      <c r="L84" s="33"/>
    </row>
    <row r="85" spans="1:12" x14ac:dyDescent="0.25">
      <c r="A85" s="34" t="s">
        <v>97</v>
      </c>
      <c r="B85" s="30">
        <f>'Case &amp; Scenario Parameters'!$G$4*'Case &amp; Scenario Parameters'!$B$22*'Unit Prices'!$D$15*'Case &amp; Scenario Parameters'!$B$60</f>
        <v>157950</v>
      </c>
      <c r="C85" s="31"/>
      <c r="D85" s="31"/>
      <c r="E85" s="31"/>
      <c r="F85" s="31"/>
      <c r="G85" s="31"/>
      <c r="H85" s="31"/>
      <c r="I85" s="31"/>
      <c r="J85" s="31"/>
      <c r="K85" s="32"/>
      <c r="L85" s="33">
        <f t="shared" ref="L85:L94" si="10">SUM(B85:K85)</f>
        <v>157950</v>
      </c>
    </row>
    <row r="86" spans="1:12" x14ac:dyDescent="0.25">
      <c r="A86" s="34" t="s">
        <v>98</v>
      </c>
      <c r="B86" s="30">
        <f>'Case &amp; Scenario Parameters'!$G$4*'Case &amp; Scenario Parameters'!$B$22*'Unit Prices'!$D$16*'Case &amp; Scenario Parameters'!$B$60</f>
        <v>947700</v>
      </c>
      <c r="C86" s="31"/>
      <c r="D86" s="31"/>
      <c r="E86" s="31"/>
      <c r="F86" s="31"/>
      <c r="G86" s="31"/>
      <c r="H86" s="31"/>
      <c r="I86" s="31"/>
      <c r="J86" s="31"/>
      <c r="K86" s="32"/>
      <c r="L86" s="33">
        <f t="shared" si="10"/>
        <v>947700</v>
      </c>
    </row>
    <row r="87" spans="1:12" x14ac:dyDescent="0.25">
      <c r="A87" s="34" t="s">
        <v>99</v>
      </c>
      <c r="B87" s="30">
        <f>'Unit Prices'!$D$17</f>
        <v>250000</v>
      </c>
      <c r="C87" s="31"/>
      <c r="D87" s="31"/>
      <c r="E87" s="31"/>
      <c r="F87" s="31"/>
      <c r="G87" s="31"/>
      <c r="H87" s="31"/>
      <c r="I87" s="31"/>
      <c r="J87" s="31"/>
      <c r="K87" s="32"/>
      <c r="L87" s="33">
        <f t="shared" si="10"/>
        <v>250000</v>
      </c>
    </row>
    <row r="88" spans="1:12" x14ac:dyDescent="0.25">
      <c r="A88" s="34" t="s">
        <v>100</v>
      </c>
      <c r="B88" s="30">
        <f>($B$15+$B$16+$B$17+$B$18+$B$19+$B$22+$B$23+$B$24+$B$25+$B$26)*'Unit Prices'!$D$18</f>
        <v>1463600</v>
      </c>
      <c r="C88" s="31"/>
      <c r="D88" s="31"/>
      <c r="E88" s="31"/>
      <c r="F88" s="31"/>
      <c r="G88" s="31"/>
      <c r="H88" s="31"/>
      <c r="I88" s="31"/>
      <c r="J88" s="31"/>
      <c r="K88" s="32"/>
      <c r="L88" s="33">
        <f t="shared" si="10"/>
        <v>1463600</v>
      </c>
    </row>
    <row r="89" spans="1:12" x14ac:dyDescent="0.25">
      <c r="A89" s="34" t="s">
        <v>101</v>
      </c>
      <c r="B89" s="30">
        <f>($B$15+$B$16+$B$17+$B$18+$B$19+$B$22+$B$23+$B$24+$B$25+$B$26)*'Unit Prices'!$D$19</f>
        <v>1463600</v>
      </c>
      <c r="C89" s="31"/>
      <c r="D89" s="31"/>
      <c r="E89" s="31"/>
      <c r="F89" s="31"/>
      <c r="G89" s="31"/>
      <c r="H89" s="31"/>
      <c r="I89" s="31"/>
      <c r="J89" s="31"/>
      <c r="K89" s="32"/>
      <c r="L89" s="33">
        <f t="shared" si="10"/>
        <v>1463600</v>
      </c>
    </row>
    <row r="90" spans="1:12" x14ac:dyDescent="0.25">
      <c r="A90" s="34" t="s">
        <v>5</v>
      </c>
      <c r="B90" s="30">
        <f>'Unit Prices'!$D$20</f>
        <v>2000000</v>
      </c>
      <c r="C90" s="31"/>
      <c r="D90" s="31"/>
      <c r="E90" s="31"/>
      <c r="F90" s="31"/>
      <c r="G90" s="31"/>
      <c r="H90" s="31"/>
      <c r="I90" s="31"/>
      <c r="J90" s="31"/>
      <c r="K90" s="32"/>
      <c r="L90" s="33">
        <f t="shared" si="10"/>
        <v>2000000</v>
      </c>
    </row>
    <row r="91" spans="1:12" x14ac:dyDescent="0.25">
      <c r="A91" s="34" t="s">
        <v>102</v>
      </c>
      <c r="B91" s="30">
        <f>'Unit Prices'!$D$21</f>
        <v>55000</v>
      </c>
      <c r="C91" s="31"/>
      <c r="D91" s="31"/>
      <c r="E91" s="31"/>
      <c r="F91" s="31"/>
      <c r="G91" s="31"/>
      <c r="H91" s="31"/>
      <c r="I91" s="31"/>
      <c r="J91" s="31"/>
      <c r="K91" s="32"/>
      <c r="L91" s="33">
        <f t="shared" si="10"/>
        <v>55000</v>
      </c>
    </row>
    <row r="92" spans="1:12" x14ac:dyDescent="0.25">
      <c r="A92" s="34" t="s">
        <v>103</v>
      </c>
      <c r="B92" s="30">
        <f>'Unit Prices'!$D$22</f>
        <v>750000</v>
      </c>
      <c r="C92" s="31"/>
      <c r="D92" s="31"/>
      <c r="E92" s="31"/>
      <c r="F92" s="31"/>
      <c r="G92" s="31"/>
      <c r="H92" s="31"/>
      <c r="I92" s="31"/>
      <c r="J92" s="31"/>
      <c r="K92" s="32"/>
      <c r="L92" s="33">
        <f t="shared" si="10"/>
        <v>750000</v>
      </c>
    </row>
    <row r="93" spans="1:12" x14ac:dyDescent="0.25">
      <c r="A93" s="34" t="s">
        <v>104</v>
      </c>
      <c r="B93" s="30">
        <f>'Unit Prices'!$D$23</f>
        <v>400000</v>
      </c>
      <c r="C93" s="31"/>
      <c r="D93" s="31"/>
      <c r="E93" s="31"/>
      <c r="F93" s="31"/>
      <c r="G93" s="31"/>
      <c r="H93" s="31"/>
      <c r="I93" s="31"/>
      <c r="J93" s="31"/>
      <c r="K93" s="32"/>
      <c r="L93" s="33">
        <f t="shared" si="10"/>
        <v>400000</v>
      </c>
    </row>
    <row r="94" spans="1:12" x14ac:dyDescent="0.25">
      <c r="A94" s="51" t="s">
        <v>108</v>
      </c>
      <c r="B94" s="73">
        <f>SUM(B71:B93)*'Unit Prices'!$D$25</f>
        <v>3368827.5</v>
      </c>
      <c r="C94" s="31"/>
      <c r="D94" s="31"/>
      <c r="E94" s="31"/>
      <c r="F94" s="31"/>
      <c r="G94" s="31"/>
      <c r="H94" s="31"/>
      <c r="I94" s="31"/>
      <c r="J94" s="31"/>
      <c r="K94" s="32"/>
      <c r="L94" s="33">
        <f t="shared" si="10"/>
        <v>3368827.5</v>
      </c>
    </row>
    <row r="95" spans="1:12" x14ac:dyDescent="0.25">
      <c r="A95" s="24" t="s">
        <v>105</v>
      </c>
      <c r="B95" s="25"/>
      <c r="C95" s="26"/>
      <c r="D95" s="26"/>
      <c r="E95" s="26"/>
      <c r="F95" s="26"/>
      <c r="G95" s="26"/>
      <c r="H95" s="26"/>
      <c r="I95" s="26"/>
      <c r="J95" s="26"/>
      <c r="K95" s="27"/>
      <c r="L95" s="28"/>
    </row>
    <row r="96" spans="1:12" x14ac:dyDescent="0.25">
      <c r="A96" s="34" t="s">
        <v>106</v>
      </c>
      <c r="B96" s="30"/>
      <c r="C96" s="31">
        <f>($B$15+$B$16+$B$17+$B$18+$B$19+$B$22+$B$23+$B$24+$B$25+$B$26)*'Unit Prices'!$D$28</f>
        <v>439080</v>
      </c>
      <c r="D96" s="31">
        <f t="shared" ref="D96:K96" si="11">C96</f>
        <v>439080</v>
      </c>
      <c r="E96" s="31">
        <f t="shared" si="11"/>
        <v>439080</v>
      </c>
      <c r="F96" s="31">
        <f t="shared" si="11"/>
        <v>439080</v>
      </c>
      <c r="G96" s="31">
        <f t="shared" si="11"/>
        <v>439080</v>
      </c>
      <c r="H96" s="31">
        <f t="shared" si="11"/>
        <v>439080</v>
      </c>
      <c r="I96" s="31">
        <f t="shared" si="11"/>
        <v>439080</v>
      </c>
      <c r="J96" s="31">
        <f t="shared" si="11"/>
        <v>439080</v>
      </c>
      <c r="K96" s="31">
        <f t="shared" si="11"/>
        <v>439080</v>
      </c>
      <c r="L96" s="33">
        <f t="shared" ref="L96:L117" si="12">SUM(B96:K96)</f>
        <v>3951720</v>
      </c>
    </row>
    <row r="97" spans="1:12" x14ac:dyDescent="0.25">
      <c r="A97" s="51" t="s">
        <v>152</v>
      </c>
      <c r="B97" s="30"/>
      <c r="C97" s="31"/>
      <c r="D97" s="31">
        <f t="shared" ref="D97:K112" si="13">C97</f>
        <v>0</v>
      </c>
      <c r="E97" s="31">
        <f t="shared" si="13"/>
        <v>0</v>
      </c>
      <c r="F97" s="31">
        <f t="shared" si="13"/>
        <v>0</v>
      </c>
      <c r="G97" s="31">
        <f t="shared" si="13"/>
        <v>0</v>
      </c>
      <c r="H97" s="31">
        <f t="shared" si="13"/>
        <v>0</v>
      </c>
      <c r="I97" s="31">
        <f t="shared" si="13"/>
        <v>0</v>
      </c>
      <c r="J97" s="31">
        <f t="shared" si="13"/>
        <v>0</v>
      </c>
      <c r="K97" s="31">
        <f t="shared" si="13"/>
        <v>0</v>
      </c>
      <c r="L97" s="33">
        <f t="shared" si="12"/>
        <v>0</v>
      </c>
    </row>
    <row r="98" spans="1:12" x14ac:dyDescent="0.25">
      <c r="A98" s="34" t="s">
        <v>89</v>
      </c>
      <c r="B98" s="30"/>
      <c r="C98" s="31">
        <f>B71*'Case &amp; Scenario Parameters'!$B$59</f>
        <v>81250</v>
      </c>
      <c r="D98" s="31">
        <f t="shared" si="13"/>
        <v>81250</v>
      </c>
      <c r="E98" s="31">
        <f t="shared" si="13"/>
        <v>81250</v>
      </c>
      <c r="F98" s="31">
        <f t="shared" si="13"/>
        <v>81250</v>
      </c>
      <c r="G98" s="31">
        <f t="shared" si="13"/>
        <v>81250</v>
      </c>
      <c r="H98" s="31">
        <f t="shared" si="13"/>
        <v>81250</v>
      </c>
      <c r="I98" s="31">
        <f t="shared" si="13"/>
        <v>81250</v>
      </c>
      <c r="J98" s="31">
        <f t="shared" si="13"/>
        <v>81250</v>
      </c>
      <c r="K98" s="31">
        <f t="shared" si="13"/>
        <v>81250</v>
      </c>
      <c r="L98" s="33">
        <f t="shared" si="12"/>
        <v>731250</v>
      </c>
    </row>
    <row r="99" spans="1:12" x14ac:dyDescent="0.25">
      <c r="A99" s="34" t="s">
        <v>90</v>
      </c>
      <c r="B99" s="30"/>
      <c r="C99" s="31">
        <f>B72*'Case &amp; Scenario Parameters'!$B$59</f>
        <v>0</v>
      </c>
      <c r="D99" s="31">
        <f t="shared" si="13"/>
        <v>0</v>
      </c>
      <c r="E99" s="31">
        <f t="shared" si="13"/>
        <v>0</v>
      </c>
      <c r="F99" s="31">
        <f t="shared" si="13"/>
        <v>0</v>
      </c>
      <c r="G99" s="31">
        <f t="shared" si="13"/>
        <v>0</v>
      </c>
      <c r="H99" s="31">
        <f t="shared" si="13"/>
        <v>0</v>
      </c>
      <c r="I99" s="31">
        <f t="shared" si="13"/>
        <v>0</v>
      </c>
      <c r="J99" s="31">
        <f t="shared" si="13"/>
        <v>0</v>
      </c>
      <c r="K99" s="31">
        <f t="shared" si="13"/>
        <v>0</v>
      </c>
      <c r="L99" s="33">
        <f t="shared" si="12"/>
        <v>0</v>
      </c>
    </row>
    <row r="100" spans="1:12" x14ac:dyDescent="0.25">
      <c r="A100" s="35" t="s">
        <v>91</v>
      </c>
      <c r="B100" s="30"/>
      <c r="C100" s="31">
        <f>B73*'Case &amp; Scenario Parameters'!$B$59</f>
        <v>0</v>
      </c>
      <c r="D100" s="31">
        <f t="shared" si="13"/>
        <v>0</v>
      </c>
      <c r="E100" s="31">
        <f t="shared" si="13"/>
        <v>0</v>
      </c>
      <c r="F100" s="31">
        <f t="shared" si="13"/>
        <v>0</v>
      </c>
      <c r="G100" s="31">
        <f t="shared" si="13"/>
        <v>0</v>
      </c>
      <c r="H100" s="31">
        <f t="shared" si="13"/>
        <v>0</v>
      </c>
      <c r="I100" s="31">
        <f t="shared" si="13"/>
        <v>0</v>
      </c>
      <c r="J100" s="31">
        <f t="shared" si="13"/>
        <v>0</v>
      </c>
      <c r="K100" s="31">
        <f t="shared" si="13"/>
        <v>0</v>
      </c>
      <c r="L100" s="33">
        <f t="shared" si="12"/>
        <v>0</v>
      </c>
    </row>
    <row r="101" spans="1:12" x14ac:dyDescent="0.25">
      <c r="A101" s="34" t="s">
        <v>92</v>
      </c>
      <c r="B101" s="30"/>
      <c r="C101" s="31">
        <f>B74*'Case &amp; Scenario Parameters'!$B$59</f>
        <v>4250</v>
      </c>
      <c r="D101" s="31">
        <f t="shared" si="13"/>
        <v>4250</v>
      </c>
      <c r="E101" s="31">
        <f t="shared" si="13"/>
        <v>4250</v>
      </c>
      <c r="F101" s="31">
        <f t="shared" si="13"/>
        <v>4250</v>
      </c>
      <c r="G101" s="31">
        <f t="shared" si="13"/>
        <v>4250</v>
      </c>
      <c r="H101" s="31">
        <f t="shared" si="13"/>
        <v>4250</v>
      </c>
      <c r="I101" s="31">
        <f t="shared" si="13"/>
        <v>4250</v>
      </c>
      <c r="J101" s="31">
        <f t="shared" si="13"/>
        <v>4250</v>
      </c>
      <c r="K101" s="31">
        <f t="shared" si="13"/>
        <v>4250</v>
      </c>
      <c r="L101" s="33">
        <f t="shared" si="12"/>
        <v>38250</v>
      </c>
    </row>
    <row r="102" spans="1:12" x14ac:dyDescent="0.25">
      <c r="A102" s="34" t="s">
        <v>93</v>
      </c>
      <c r="B102" s="30"/>
      <c r="C102" s="31">
        <f>B75*'Case &amp; Scenario Parameters'!$B$59</f>
        <v>0</v>
      </c>
      <c r="D102" s="31">
        <f t="shared" si="13"/>
        <v>0</v>
      </c>
      <c r="E102" s="31">
        <f t="shared" si="13"/>
        <v>0</v>
      </c>
      <c r="F102" s="31">
        <f t="shared" si="13"/>
        <v>0</v>
      </c>
      <c r="G102" s="31">
        <f t="shared" si="13"/>
        <v>0</v>
      </c>
      <c r="H102" s="31">
        <f t="shared" si="13"/>
        <v>0</v>
      </c>
      <c r="I102" s="31">
        <f t="shared" si="13"/>
        <v>0</v>
      </c>
      <c r="J102" s="31">
        <f t="shared" si="13"/>
        <v>0</v>
      </c>
      <c r="K102" s="31">
        <f t="shared" si="13"/>
        <v>0</v>
      </c>
      <c r="L102" s="33">
        <f t="shared" si="12"/>
        <v>0</v>
      </c>
    </row>
    <row r="103" spans="1:12" x14ac:dyDescent="0.25">
      <c r="A103" s="34" t="s">
        <v>94</v>
      </c>
      <c r="B103" s="30"/>
      <c r="C103" s="31">
        <f>SUM(C98:C102)*'Unit Prices'!$D$9</f>
        <v>8550</v>
      </c>
      <c r="D103" s="31">
        <f t="shared" si="13"/>
        <v>8550</v>
      </c>
      <c r="E103" s="31">
        <f t="shared" si="13"/>
        <v>8550</v>
      </c>
      <c r="F103" s="31">
        <f t="shared" si="13"/>
        <v>8550</v>
      </c>
      <c r="G103" s="31">
        <f t="shared" si="13"/>
        <v>8550</v>
      </c>
      <c r="H103" s="31">
        <f t="shared" si="13"/>
        <v>8550</v>
      </c>
      <c r="I103" s="31">
        <f t="shared" si="13"/>
        <v>8550</v>
      </c>
      <c r="J103" s="31">
        <f t="shared" si="13"/>
        <v>8550</v>
      </c>
      <c r="K103" s="31">
        <f t="shared" si="13"/>
        <v>8550</v>
      </c>
      <c r="L103" s="33">
        <f t="shared" si="12"/>
        <v>76950</v>
      </c>
    </row>
    <row r="104" spans="1:12" x14ac:dyDescent="0.25">
      <c r="A104" s="51" t="s">
        <v>154</v>
      </c>
      <c r="B104" s="30"/>
      <c r="C104" s="31"/>
      <c r="D104" s="31">
        <f t="shared" si="13"/>
        <v>0</v>
      </c>
      <c r="E104" s="31">
        <f t="shared" si="13"/>
        <v>0</v>
      </c>
      <c r="F104" s="31">
        <f t="shared" si="13"/>
        <v>0</v>
      </c>
      <c r="G104" s="31">
        <f t="shared" si="13"/>
        <v>0</v>
      </c>
      <c r="H104" s="31">
        <f t="shared" si="13"/>
        <v>0</v>
      </c>
      <c r="I104" s="31">
        <f t="shared" si="13"/>
        <v>0</v>
      </c>
      <c r="J104" s="31">
        <f t="shared" si="13"/>
        <v>0</v>
      </c>
      <c r="K104" s="31">
        <f t="shared" si="13"/>
        <v>0</v>
      </c>
      <c r="L104" s="33">
        <f t="shared" si="12"/>
        <v>0</v>
      </c>
    </row>
    <row r="105" spans="1:12" x14ac:dyDescent="0.25">
      <c r="A105" s="34" t="s">
        <v>89</v>
      </c>
      <c r="B105" s="30"/>
      <c r="C105" s="31">
        <f>B78*'Case &amp; Scenario Parameters'!$B$59</f>
        <v>45000</v>
      </c>
      <c r="D105" s="31">
        <f t="shared" si="13"/>
        <v>45000</v>
      </c>
      <c r="E105" s="31">
        <f t="shared" si="13"/>
        <v>45000</v>
      </c>
      <c r="F105" s="31">
        <f t="shared" si="13"/>
        <v>45000</v>
      </c>
      <c r="G105" s="31">
        <f t="shared" si="13"/>
        <v>45000</v>
      </c>
      <c r="H105" s="31">
        <f t="shared" si="13"/>
        <v>45000</v>
      </c>
      <c r="I105" s="31">
        <f t="shared" si="13"/>
        <v>45000</v>
      </c>
      <c r="J105" s="31">
        <f t="shared" si="13"/>
        <v>45000</v>
      </c>
      <c r="K105" s="31">
        <f t="shared" si="13"/>
        <v>45000</v>
      </c>
      <c r="L105" s="33">
        <f t="shared" si="12"/>
        <v>405000</v>
      </c>
    </row>
    <row r="106" spans="1:12" x14ac:dyDescent="0.25">
      <c r="A106" s="34" t="s">
        <v>90</v>
      </c>
      <c r="B106" s="30"/>
      <c r="C106" s="31">
        <f>B79*'Case &amp; Scenario Parameters'!$B$59</f>
        <v>525000</v>
      </c>
      <c r="D106" s="31">
        <f t="shared" si="13"/>
        <v>525000</v>
      </c>
      <c r="E106" s="31">
        <f t="shared" si="13"/>
        <v>525000</v>
      </c>
      <c r="F106" s="31">
        <f t="shared" si="13"/>
        <v>525000</v>
      </c>
      <c r="G106" s="31">
        <f t="shared" si="13"/>
        <v>525000</v>
      </c>
      <c r="H106" s="31">
        <f t="shared" si="13"/>
        <v>525000</v>
      </c>
      <c r="I106" s="31">
        <f t="shared" si="13"/>
        <v>525000</v>
      </c>
      <c r="J106" s="31">
        <f t="shared" si="13"/>
        <v>525000</v>
      </c>
      <c r="K106" s="31">
        <f t="shared" si="13"/>
        <v>525000</v>
      </c>
      <c r="L106" s="33">
        <f t="shared" si="12"/>
        <v>4725000</v>
      </c>
    </row>
    <row r="107" spans="1:12" x14ac:dyDescent="0.25">
      <c r="A107" s="35" t="s">
        <v>91</v>
      </c>
      <c r="B107" s="30"/>
      <c r="C107" s="31">
        <f>B80*'Case &amp; Scenario Parameters'!$B$59</f>
        <v>25000</v>
      </c>
      <c r="D107" s="31">
        <f t="shared" si="13"/>
        <v>25000</v>
      </c>
      <c r="E107" s="31">
        <f t="shared" si="13"/>
        <v>25000</v>
      </c>
      <c r="F107" s="31">
        <f t="shared" si="13"/>
        <v>25000</v>
      </c>
      <c r="G107" s="31">
        <f t="shared" si="13"/>
        <v>25000</v>
      </c>
      <c r="H107" s="31">
        <f t="shared" si="13"/>
        <v>25000</v>
      </c>
      <c r="I107" s="31">
        <f t="shared" si="13"/>
        <v>25000</v>
      </c>
      <c r="J107" s="31">
        <f t="shared" si="13"/>
        <v>25000</v>
      </c>
      <c r="K107" s="31">
        <f t="shared" si="13"/>
        <v>25000</v>
      </c>
      <c r="L107" s="33">
        <f t="shared" si="12"/>
        <v>225000</v>
      </c>
    </row>
    <row r="108" spans="1:12" x14ac:dyDescent="0.25">
      <c r="A108" s="34" t="s">
        <v>92</v>
      </c>
      <c r="B108" s="30"/>
      <c r="C108" s="31">
        <f>B81*'Case &amp; Scenario Parameters'!$B$59</f>
        <v>0</v>
      </c>
      <c r="D108" s="31">
        <f t="shared" si="13"/>
        <v>0</v>
      </c>
      <c r="E108" s="31">
        <f t="shared" si="13"/>
        <v>0</v>
      </c>
      <c r="F108" s="31">
        <f t="shared" si="13"/>
        <v>0</v>
      </c>
      <c r="G108" s="31">
        <f t="shared" si="13"/>
        <v>0</v>
      </c>
      <c r="H108" s="31">
        <f t="shared" si="13"/>
        <v>0</v>
      </c>
      <c r="I108" s="31">
        <f t="shared" si="13"/>
        <v>0</v>
      </c>
      <c r="J108" s="31">
        <f t="shared" si="13"/>
        <v>0</v>
      </c>
      <c r="K108" s="31">
        <f t="shared" si="13"/>
        <v>0</v>
      </c>
      <c r="L108" s="33">
        <f t="shared" si="12"/>
        <v>0</v>
      </c>
    </row>
    <row r="109" spans="1:12" x14ac:dyDescent="0.25">
      <c r="A109" s="34" t="s">
        <v>93</v>
      </c>
      <c r="B109" s="30"/>
      <c r="C109" s="31">
        <f>B82*'Case &amp; Scenario Parameters'!$B$59</f>
        <v>0</v>
      </c>
      <c r="D109" s="31">
        <f t="shared" si="13"/>
        <v>0</v>
      </c>
      <c r="E109" s="31">
        <f t="shared" si="13"/>
        <v>0</v>
      </c>
      <c r="F109" s="31">
        <f t="shared" si="13"/>
        <v>0</v>
      </c>
      <c r="G109" s="31">
        <f t="shared" si="13"/>
        <v>0</v>
      </c>
      <c r="H109" s="31">
        <f t="shared" si="13"/>
        <v>0</v>
      </c>
      <c r="I109" s="31">
        <f t="shared" si="13"/>
        <v>0</v>
      </c>
      <c r="J109" s="31">
        <f t="shared" si="13"/>
        <v>0</v>
      </c>
      <c r="K109" s="31">
        <f t="shared" si="13"/>
        <v>0</v>
      </c>
      <c r="L109" s="33">
        <f t="shared" si="12"/>
        <v>0</v>
      </c>
    </row>
    <row r="110" spans="1:12" x14ac:dyDescent="0.25">
      <c r="A110" s="34" t="s">
        <v>95</v>
      </c>
      <c r="B110" s="30"/>
      <c r="C110" s="31">
        <f>SUM(C105:C109)*'Unit Prices'!$D$13</f>
        <v>59500</v>
      </c>
      <c r="D110" s="31">
        <f t="shared" si="13"/>
        <v>59500</v>
      </c>
      <c r="E110" s="31">
        <f t="shared" si="13"/>
        <v>59500</v>
      </c>
      <c r="F110" s="31">
        <f t="shared" si="13"/>
        <v>59500</v>
      </c>
      <c r="G110" s="31">
        <f t="shared" si="13"/>
        <v>59500</v>
      </c>
      <c r="H110" s="31">
        <f t="shared" si="13"/>
        <v>59500</v>
      </c>
      <c r="I110" s="31">
        <f t="shared" si="13"/>
        <v>59500</v>
      </c>
      <c r="J110" s="31">
        <f t="shared" si="13"/>
        <v>59500</v>
      </c>
      <c r="K110" s="31">
        <f t="shared" si="13"/>
        <v>59500</v>
      </c>
      <c r="L110" s="33">
        <f t="shared" si="12"/>
        <v>535500</v>
      </c>
    </row>
    <row r="111" spans="1:12" x14ac:dyDescent="0.25">
      <c r="A111" s="51" t="s">
        <v>154</v>
      </c>
      <c r="B111" s="30"/>
      <c r="C111" s="31"/>
      <c r="D111" s="31">
        <f t="shared" si="13"/>
        <v>0</v>
      </c>
      <c r="E111" s="31">
        <f t="shared" si="13"/>
        <v>0</v>
      </c>
      <c r="F111" s="31">
        <f t="shared" si="13"/>
        <v>0</v>
      </c>
      <c r="G111" s="31">
        <f t="shared" si="13"/>
        <v>0</v>
      </c>
      <c r="H111" s="31">
        <f t="shared" si="13"/>
        <v>0</v>
      </c>
      <c r="I111" s="31">
        <f t="shared" si="13"/>
        <v>0</v>
      </c>
      <c r="J111" s="31">
        <f t="shared" si="13"/>
        <v>0</v>
      </c>
      <c r="K111" s="31">
        <f t="shared" si="13"/>
        <v>0</v>
      </c>
      <c r="L111" s="33">
        <f t="shared" si="12"/>
        <v>0</v>
      </c>
    </row>
    <row r="112" spans="1:12" x14ac:dyDescent="0.25">
      <c r="A112" s="34" t="s">
        <v>97</v>
      </c>
      <c r="B112" s="30"/>
      <c r="C112" s="31">
        <f>B85*'Case &amp; Scenario Parameters'!$B$61</f>
        <v>15795</v>
      </c>
      <c r="D112" s="31">
        <f t="shared" si="13"/>
        <v>15795</v>
      </c>
      <c r="E112" s="31">
        <f t="shared" si="13"/>
        <v>15795</v>
      </c>
      <c r="F112" s="31">
        <f t="shared" si="13"/>
        <v>15795</v>
      </c>
      <c r="G112" s="31">
        <f t="shared" si="13"/>
        <v>15795</v>
      </c>
      <c r="H112" s="31">
        <f t="shared" si="13"/>
        <v>15795</v>
      </c>
      <c r="I112" s="31">
        <f t="shared" si="13"/>
        <v>15795</v>
      </c>
      <c r="J112" s="31">
        <f t="shared" si="13"/>
        <v>15795</v>
      </c>
      <c r="K112" s="31">
        <f t="shared" si="13"/>
        <v>15795</v>
      </c>
      <c r="L112" s="33">
        <f t="shared" si="12"/>
        <v>142155</v>
      </c>
    </row>
    <row r="113" spans="1:12" x14ac:dyDescent="0.25">
      <c r="A113" s="34" t="s">
        <v>98</v>
      </c>
      <c r="B113" s="30"/>
      <c r="C113" s="31">
        <f>B86*'Case &amp; Scenario Parameters'!$B$61</f>
        <v>94770</v>
      </c>
      <c r="D113" s="31">
        <f t="shared" ref="D113:K116" si="14">C113</f>
        <v>94770</v>
      </c>
      <c r="E113" s="31">
        <f t="shared" si="14"/>
        <v>94770</v>
      </c>
      <c r="F113" s="31">
        <f t="shared" si="14"/>
        <v>94770</v>
      </c>
      <c r="G113" s="31">
        <f t="shared" si="14"/>
        <v>94770</v>
      </c>
      <c r="H113" s="31">
        <f t="shared" si="14"/>
        <v>94770</v>
      </c>
      <c r="I113" s="31">
        <f t="shared" si="14"/>
        <v>94770</v>
      </c>
      <c r="J113" s="31">
        <f t="shared" si="14"/>
        <v>94770</v>
      </c>
      <c r="K113" s="31">
        <f t="shared" si="14"/>
        <v>94770</v>
      </c>
      <c r="L113" s="33">
        <f t="shared" si="12"/>
        <v>852930</v>
      </c>
    </row>
    <row r="114" spans="1:12" x14ac:dyDescent="0.25">
      <c r="A114" s="34" t="s">
        <v>108</v>
      </c>
      <c r="B114" s="30"/>
      <c r="C114" s="31">
        <f>SUM(C96:C113)*'Unit Prices'!$D$37</f>
        <v>194729.25</v>
      </c>
      <c r="D114" s="31">
        <f t="shared" si="14"/>
        <v>194729.25</v>
      </c>
      <c r="E114" s="31">
        <f t="shared" si="14"/>
        <v>194729.25</v>
      </c>
      <c r="F114" s="31">
        <f t="shared" si="14"/>
        <v>194729.25</v>
      </c>
      <c r="G114" s="31">
        <f t="shared" si="14"/>
        <v>194729.25</v>
      </c>
      <c r="H114" s="31">
        <f t="shared" si="14"/>
        <v>194729.25</v>
      </c>
      <c r="I114" s="31">
        <f t="shared" si="14"/>
        <v>194729.25</v>
      </c>
      <c r="J114" s="31">
        <f t="shared" si="14"/>
        <v>194729.25</v>
      </c>
      <c r="K114" s="31">
        <f t="shared" si="14"/>
        <v>194729.25</v>
      </c>
      <c r="L114" s="33">
        <f t="shared" si="12"/>
        <v>1752563.25</v>
      </c>
    </row>
    <row r="115" spans="1:12" x14ac:dyDescent="0.25">
      <c r="A115" s="51" t="s">
        <v>135</v>
      </c>
      <c r="B115" s="36">
        <f>B$119*$B$5*'Unit Prices'!$D$38</f>
        <v>0</v>
      </c>
      <c r="C115" s="36">
        <f>B115</f>
        <v>0</v>
      </c>
      <c r="D115" s="36">
        <f t="shared" si="14"/>
        <v>0</v>
      </c>
      <c r="E115" s="36">
        <f t="shared" si="14"/>
        <v>0</v>
      </c>
      <c r="F115" s="36">
        <f t="shared" si="14"/>
        <v>0</v>
      </c>
      <c r="G115" s="36">
        <f t="shared" si="14"/>
        <v>0</v>
      </c>
      <c r="H115" s="36">
        <f t="shared" si="14"/>
        <v>0</v>
      </c>
      <c r="I115" s="36">
        <f t="shared" si="14"/>
        <v>0</v>
      </c>
      <c r="J115" s="36">
        <f t="shared" si="14"/>
        <v>0</v>
      </c>
      <c r="K115" s="36">
        <f t="shared" si="14"/>
        <v>0</v>
      </c>
      <c r="L115" s="33">
        <f t="shared" si="12"/>
        <v>0</v>
      </c>
    </row>
    <row r="116" spans="1:12" x14ac:dyDescent="0.25">
      <c r="A116" s="51" t="s">
        <v>136</v>
      </c>
      <c r="B116" s="30">
        <f>B$119*'Unit Prices'!$D$39*$B$6</f>
        <v>714516.25000000012</v>
      </c>
      <c r="C116" s="73">
        <f>B116</f>
        <v>714516.25000000012</v>
      </c>
      <c r="D116" s="73">
        <f t="shared" si="14"/>
        <v>714516.25000000012</v>
      </c>
      <c r="E116" s="73">
        <f t="shared" si="14"/>
        <v>714516.25000000012</v>
      </c>
      <c r="F116" s="73">
        <f t="shared" si="14"/>
        <v>714516.25000000012</v>
      </c>
      <c r="G116" s="73">
        <f t="shared" si="14"/>
        <v>714516.25000000012</v>
      </c>
      <c r="H116" s="73">
        <f t="shared" si="14"/>
        <v>714516.25000000012</v>
      </c>
      <c r="I116" s="73">
        <f t="shared" si="14"/>
        <v>714516.25000000012</v>
      </c>
      <c r="J116" s="73">
        <f t="shared" si="14"/>
        <v>714516.25000000012</v>
      </c>
      <c r="K116" s="73">
        <f t="shared" si="14"/>
        <v>714516.25000000012</v>
      </c>
      <c r="L116" s="33">
        <f t="shared" si="12"/>
        <v>7145162.5000000009</v>
      </c>
    </row>
    <row r="117" spans="1:12" x14ac:dyDescent="0.25">
      <c r="A117" s="37" t="s">
        <v>114</v>
      </c>
      <c r="B117" s="38">
        <f t="shared" ref="B117:K117" si="15">SUM(B71:B114)+B115+B116</f>
        <v>26542193.75</v>
      </c>
      <c r="C117" s="38">
        <f t="shared" si="15"/>
        <v>2207440.5</v>
      </c>
      <c r="D117" s="38">
        <f t="shared" si="15"/>
        <v>2207440.5</v>
      </c>
      <c r="E117" s="38">
        <f t="shared" si="15"/>
        <v>2207440.5</v>
      </c>
      <c r="F117" s="38">
        <f t="shared" si="15"/>
        <v>2207440.5</v>
      </c>
      <c r="G117" s="38">
        <f t="shared" si="15"/>
        <v>2207440.5</v>
      </c>
      <c r="H117" s="38">
        <f t="shared" si="15"/>
        <v>2207440.5</v>
      </c>
      <c r="I117" s="38">
        <f t="shared" si="15"/>
        <v>2207440.5</v>
      </c>
      <c r="J117" s="38">
        <f t="shared" si="15"/>
        <v>2207440.5</v>
      </c>
      <c r="K117" s="38">
        <f t="shared" si="15"/>
        <v>2207440.5</v>
      </c>
      <c r="L117" s="38">
        <f t="shared" si="12"/>
        <v>46409158.25</v>
      </c>
    </row>
    <row r="118" spans="1:12" x14ac:dyDescent="0.25">
      <c r="A118" s="24" t="s">
        <v>117</v>
      </c>
      <c r="B118" s="25"/>
      <c r="C118" s="26"/>
      <c r="D118" s="26"/>
      <c r="E118" s="26"/>
      <c r="F118" s="26"/>
      <c r="G118" s="26"/>
      <c r="H118" s="26"/>
      <c r="I118" s="26"/>
      <c r="J118" s="26"/>
      <c r="K118" s="27"/>
      <c r="L118" s="28"/>
    </row>
    <row r="119" spans="1:12" x14ac:dyDescent="0.25">
      <c r="A119" s="37" t="s">
        <v>115</v>
      </c>
      <c r="B119" s="38">
        <f>'Case &amp; Scenario Parameters'!$G$11*$B$4</f>
        <v>102073750</v>
      </c>
      <c r="C119" s="38">
        <f>'Case &amp; Scenario Parameters'!$G$11*$B$4</f>
        <v>102073750</v>
      </c>
      <c r="D119" s="38">
        <f>'Case &amp; Scenario Parameters'!$G$11*$B$4</f>
        <v>102073750</v>
      </c>
      <c r="E119" s="38">
        <f>'Case &amp; Scenario Parameters'!$G$11*$B$4</f>
        <v>102073750</v>
      </c>
      <c r="F119" s="38">
        <f>'Case &amp; Scenario Parameters'!$G$11*$B$4</f>
        <v>102073750</v>
      </c>
      <c r="G119" s="38">
        <f>'Case &amp; Scenario Parameters'!$G$11*$B$4</f>
        <v>102073750</v>
      </c>
      <c r="H119" s="38">
        <f>'Case &amp; Scenario Parameters'!$G$11*$B$4</f>
        <v>102073750</v>
      </c>
      <c r="I119" s="38">
        <f>'Case &amp; Scenario Parameters'!$G$11*$B$4</f>
        <v>102073750</v>
      </c>
      <c r="J119" s="38">
        <f>'Case &amp; Scenario Parameters'!$G$11*$B$4</f>
        <v>102073750</v>
      </c>
      <c r="K119" s="38">
        <f>'Case &amp; Scenario Parameters'!$G$11*$B$4</f>
        <v>102073750</v>
      </c>
      <c r="L119" s="41">
        <f>SUM(B119:K119)</f>
        <v>1020737500</v>
      </c>
    </row>
    <row r="120" spans="1:12" ht="14.25" x14ac:dyDescent="0.2"/>
    <row r="121" spans="1:12" ht="14.25" x14ac:dyDescent="0.2"/>
    <row r="122" spans="1:12" ht="14.25" x14ac:dyDescent="0.2"/>
    <row r="123" spans="1:12" ht="14.25" x14ac:dyDescent="0.2"/>
    <row r="124" spans="1:12" ht="14.25" x14ac:dyDescent="0.2"/>
    <row r="125" spans="1:12" ht="14.25" x14ac:dyDescent="0.2"/>
    <row r="126" spans="1:12" ht="14.25" x14ac:dyDescent="0.2"/>
    <row r="127" spans="1:12" ht="14.25" x14ac:dyDescent="0.2"/>
  </sheetData>
  <sheetProtection algorithmName="SHA-512" hashValue="bg/UsuhjTilT/XL8MaYxPsC7WtNbqhZhGWvHPJ3xyRJ8dpQM+3x1fvSMRzQGwQ/OXezVdiLbnbdNyn/3HuL9bg==" saltValue="uSTTJ7VReqrt1UlhtwL7mw==" spinCount="100000" sheet="1" objects="1" scenarios="1"/>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27"/>
  <sheetViews>
    <sheetView topLeftCell="A34" workbookViewId="0">
      <selection activeCell="H6" sqref="H6"/>
    </sheetView>
  </sheetViews>
  <sheetFormatPr defaultColWidth="12.625" defaultRowHeight="15" customHeight="1" x14ac:dyDescent="0.2"/>
  <cols>
    <col min="1" max="1" width="60.375" customWidth="1"/>
  </cols>
  <sheetData>
    <row r="1" spans="1:12" x14ac:dyDescent="0.25">
      <c r="A1" s="11" t="str">
        <f>'Case &amp; Scenario Parameters'!A33</f>
        <v>Scenario 2</v>
      </c>
      <c r="B1" s="11" t="str">
        <f>'Case &amp; Scenario Parameters'!B33</f>
        <v>Full service</v>
      </c>
      <c r="C1" s="11" t="str">
        <f>'Case &amp; Scenario Parameters'!C33</f>
        <v>No cash</v>
      </c>
    </row>
    <row r="2" spans="1:12" x14ac:dyDescent="0.25">
      <c r="A2" s="11" t="str">
        <f>'Case &amp; Scenario Parameters'!A34</f>
        <v>Fareboxes</v>
      </c>
      <c r="B2" s="72">
        <f>'Case &amp; Scenario Parameters'!B34</f>
        <v>1</v>
      </c>
      <c r="C2" s="72">
        <f>'Case &amp; Scenario Parameters'!C34</f>
        <v>0</v>
      </c>
    </row>
    <row r="3" spans="1:12" x14ac:dyDescent="0.25">
      <c r="A3" s="11" t="str">
        <f>'Case &amp; Scenario Parameters'!A35</f>
        <v>Ticket Vending Machines</v>
      </c>
      <c r="B3" s="72">
        <f>'Case &amp; Scenario Parameters'!B35</f>
        <v>0</v>
      </c>
      <c r="C3" s="72">
        <f>'Case &amp; Scenario Parameters'!C35</f>
        <v>1</v>
      </c>
    </row>
    <row r="4" spans="1:12" x14ac:dyDescent="0.25">
      <c r="A4" s="11" t="str">
        <f>'Case &amp; Scenario Parameters'!A36</f>
        <v>Share of existing riders able to use system```</v>
      </c>
      <c r="B4" s="72">
        <f>'Case &amp; Scenario Parameters'!B36</f>
        <v>0.97499999999999998</v>
      </c>
      <c r="C4" s="72"/>
    </row>
    <row r="5" spans="1:12" ht="15" customHeight="1" x14ac:dyDescent="0.25">
      <c r="A5" s="11" t="str">
        <f>'Case &amp; Scenario Parameters'!A37</f>
        <v>Percentage of Revene as Cash Handled by Agency</v>
      </c>
      <c r="B5" s="72">
        <f>'Case &amp; Scenario Parameters'!B37</f>
        <v>0.06</v>
      </c>
      <c r="C5" s="72"/>
    </row>
    <row r="6" spans="1:12" ht="15" customHeight="1" x14ac:dyDescent="0.25">
      <c r="A6" s="11" t="str">
        <f>'Case &amp; Scenario Parameters'!A38</f>
        <v>Percentage of Revene as Retail</v>
      </c>
      <c r="B6" s="72">
        <f>'Case &amp; Scenario Parameters'!B38</f>
        <v>0</v>
      </c>
      <c r="C6" s="72"/>
    </row>
    <row r="7" spans="1:12" ht="15" customHeight="1" x14ac:dyDescent="0.25">
      <c r="A7" s="9"/>
      <c r="B7" s="9"/>
      <c r="C7" s="9"/>
    </row>
    <row r="8" spans="1:12" x14ac:dyDescent="0.25">
      <c r="A8" s="9" t="s">
        <v>109</v>
      </c>
    </row>
    <row r="9" spans="1:12" x14ac:dyDescent="0.25">
      <c r="A9" s="9"/>
    </row>
    <row r="10" spans="1:12" ht="15.75" thickBot="1" x14ac:dyDescent="0.3">
      <c r="A10" s="71" t="s">
        <v>145</v>
      </c>
      <c r="C10" s="18"/>
      <c r="D10" s="18"/>
      <c r="E10" s="18"/>
      <c r="F10" s="18"/>
      <c r="G10" s="18"/>
      <c r="H10" s="18"/>
      <c r="I10" s="18"/>
      <c r="J10" s="18"/>
      <c r="K10" s="18"/>
    </row>
    <row r="11" spans="1:12" x14ac:dyDescent="0.25">
      <c r="A11" s="19"/>
      <c r="B11" s="20" t="s">
        <v>77</v>
      </c>
      <c r="C11" s="21" t="s">
        <v>78</v>
      </c>
      <c r="D11" s="21" t="s">
        <v>79</v>
      </c>
      <c r="E11" s="21" t="s">
        <v>80</v>
      </c>
      <c r="F11" s="21" t="s">
        <v>81</v>
      </c>
      <c r="G11" s="21" t="s">
        <v>82</v>
      </c>
      <c r="H11" s="21" t="s">
        <v>83</v>
      </c>
      <c r="I11" s="21" t="s">
        <v>84</v>
      </c>
      <c r="J11" s="21" t="s">
        <v>85</v>
      </c>
      <c r="K11" s="22" t="s">
        <v>88</v>
      </c>
      <c r="L11" s="23" t="s">
        <v>55</v>
      </c>
    </row>
    <row r="12" spans="1:12" x14ac:dyDescent="0.25">
      <c r="A12" s="24" t="s">
        <v>4</v>
      </c>
      <c r="B12" s="25"/>
      <c r="C12" s="26"/>
      <c r="D12" s="26"/>
      <c r="E12" s="26"/>
      <c r="F12" s="26"/>
      <c r="G12" s="26"/>
      <c r="H12" s="26"/>
      <c r="I12" s="26"/>
      <c r="J12" s="26"/>
      <c r="K12" s="27"/>
      <c r="L12" s="28"/>
    </row>
    <row r="13" spans="1:12" x14ac:dyDescent="0.25">
      <c r="A13" s="24" t="s">
        <v>10</v>
      </c>
      <c r="B13" s="25"/>
      <c r="C13" s="26"/>
      <c r="D13" s="26"/>
      <c r="E13" s="26"/>
      <c r="F13" s="26"/>
      <c r="G13" s="26"/>
      <c r="H13" s="26"/>
      <c r="I13" s="26"/>
      <c r="J13" s="26"/>
      <c r="K13" s="27"/>
      <c r="L13" s="28"/>
    </row>
    <row r="14" spans="1:12" x14ac:dyDescent="0.25">
      <c r="A14" s="34" t="s">
        <v>58</v>
      </c>
      <c r="B14" s="30"/>
      <c r="C14" s="31"/>
      <c r="D14" s="31"/>
      <c r="E14" s="31"/>
      <c r="F14" s="31"/>
      <c r="G14" s="31"/>
      <c r="H14" s="31"/>
      <c r="I14" s="31"/>
      <c r="J14" s="31"/>
      <c r="K14" s="32"/>
      <c r="L14" s="33"/>
    </row>
    <row r="15" spans="1:12" x14ac:dyDescent="0.25">
      <c r="A15" s="34" t="s">
        <v>89</v>
      </c>
      <c r="B15" s="30">
        <f>('Case &amp; Scenario Parameters'!$B$7*'Unit Prices'!$C$7*$B$2)+('Case &amp; Scenario Parameters'!$B$7*'Unit Prices'!$C$8*$C$2)</f>
        <v>4550000</v>
      </c>
      <c r="C15" s="31"/>
      <c r="D15" s="31"/>
      <c r="E15" s="31"/>
      <c r="F15" s="31"/>
      <c r="G15" s="31"/>
      <c r="H15" s="31"/>
      <c r="I15" s="31"/>
      <c r="J15" s="31"/>
      <c r="K15" s="32"/>
      <c r="L15" s="33">
        <f t="shared" ref="L15:L20" si="0">SUM(B15:K15)</f>
        <v>4550000</v>
      </c>
    </row>
    <row r="16" spans="1:12" x14ac:dyDescent="0.25">
      <c r="A16" s="34" t="s">
        <v>90</v>
      </c>
      <c r="B16" s="30">
        <f>('Case &amp; Scenario Parameters'!$C$7*'Unit Prices'!$C$7*$B$2)+('Case &amp; Scenario Parameters'!$C$7*'Unit Prices'!$C$8*$C$2)</f>
        <v>0</v>
      </c>
      <c r="C16" s="31"/>
      <c r="D16" s="31"/>
      <c r="E16" s="31"/>
      <c r="F16" s="31"/>
      <c r="G16" s="31"/>
      <c r="H16" s="31"/>
      <c r="I16" s="31"/>
      <c r="J16" s="31"/>
      <c r="K16" s="32"/>
      <c r="L16" s="33">
        <f t="shared" si="0"/>
        <v>0</v>
      </c>
    </row>
    <row r="17" spans="1:12" x14ac:dyDescent="0.25">
      <c r="A17" s="35" t="s">
        <v>91</v>
      </c>
      <c r="B17" s="30">
        <f>('Case &amp; Scenario Parameters'!$D$7*'Unit Prices'!$C$7*$B$2)+('Case &amp; Scenario Parameters'!$D$7*'Unit Prices'!$C$8*$C$2)</f>
        <v>0</v>
      </c>
      <c r="C17" s="31"/>
      <c r="D17" s="31"/>
      <c r="E17" s="31"/>
      <c r="F17" s="31"/>
      <c r="G17" s="31"/>
      <c r="H17" s="31"/>
      <c r="I17" s="31"/>
      <c r="J17" s="31"/>
      <c r="K17" s="32"/>
      <c r="L17" s="33">
        <f t="shared" si="0"/>
        <v>0</v>
      </c>
    </row>
    <row r="18" spans="1:12" x14ac:dyDescent="0.25">
      <c r="A18" s="34" t="s">
        <v>92</v>
      </c>
      <c r="B18" s="30">
        <f>('Case &amp; Scenario Parameters'!$E$7*'Unit Prices'!$C$7*$B$2)+('Case &amp; Scenario Parameters'!$E$7*'Unit Prices'!$C$8*$C$2)</f>
        <v>238000</v>
      </c>
      <c r="C18" s="31"/>
      <c r="D18" s="31"/>
      <c r="E18" s="31"/>
      <c r="F18" s="31"/>
      <c r="G18" s="31"/>
      <c r="H18" s="31"/>
      <c r="I18" s="31"/>
      <c r="J18" s="31"/>
      <c r="K18" s="32"/>
      <c r="L18" s="33">
        <f t="shared" si="0"/>
        <v>238000</v>
      </c>
    </row>
    <row r="19" spans="1:12" x14ac:dyDescent="0.25">
      <c r="A19" s="34" t="s">
        <v>93</v>
      </c>
      <c r="B19" s="30">
        <f>('Case &amp; Scenario Parameters'!$F$7*'Unit Prices'!$C$7*$B$2)+('Case &amp; Scenario Parameters'!$F$7*'Unit Prices'!$C$8*$C$2)</f>
        <v>0</v>
      </c>
      <c r="C19" s="31"/>
      <c r="D19" s="31"/>
      <c r="E19" s="31"/>
      <c r="F19" s="31"/>
      <c r="G19" s="31"/>
      <c r="H19" s="47" t="s">
        <v>113</v>
      </c>
      <c r="I19" s="31"/>
      <c r="J19" s="31"/>
      <c r="K19" s="32"/>
      <c r="L19" s="33">
        <f t="shared" si="0"/>
        <v>0</v>
      </c>
    </row>
    <row r="20" spans="1:12" x14ac:dyDescent="0.25">
      <c r="A20" s="34" t="s">
        <v>94</v>
      </c>
      <c r="B20" s="30">
        <f>SUM(B15:B19)*'Unit Prices'!$C$9</f>
        <v>143640</v>
      </c>
      <c r="C20" s="31"/>
      <c r="D20" s="31"/>
      <c r="E20" s="31"/>
      <c r="F20" s="31"/>
      <c r="G20" s="31"/>
      <c r="H20" s="31"/>
      <c r="I20" s="31"/>
      <c r="J20" s="31"/>
      <c r="K20" s="32"/>
      <c r="L20" s="33">
        <f t="shared" si="0"/>
        <v>143640</v>
      </c>
    </row>
    <row r="21" spans="1:12" x14ac:dyDescent="0.25">
      <c r="A21" s="34" t="s">
        <v>59</v>
      </c>
      <c r="B21" s="30"/>
      <c r="C21" s="31"/>
      <c r="D21" s="31"/>
      <c r="E21" s="31"/>
      <c r="F21" s="31"/>
      <c r="G21" s="31"/>
      <c r="H21" s="31"/>
      <c r="I21" s="31"/>
      <c r="J21" s="31"/>
      <c r="K21" s="32"/>
      <c r="L21" s="33"/>
    </row>
    <row r="22" spans="1:12" x14ac:dyDescent="0.25">
      <c r="A22" s="34" t="s">
        <v>89</v>
      </c>
      <c r="B22" s="30">
        <f>('Case &amp; Scenario Parameters'!$B$10*'Unit Prices'!$C$11*$B$3)+('Case &amp; Scenario Parameters'!$B$10*'Unit Prices'!$C$12*$C$3)</f>
        <v>450000</v>
      </c>
      <c r="C22" s="31"/>
      <c r="D22" s="31"/>
      <c r="E22" s="31"/>
      <c r="F22" s="31"/>
      <c r="G22" s="31"/>
      <c r="H22" s="31"/>
      <c r="I22" s="31"/>
      <c r="J22" s="31"/>
      <c r="K22" s="32"/>
      <c r="L22" s="33">
        <f t="shared" ref="L22:L27" si="1">SUM(B22:K22)</f>
        <v>450000</v>
      </c>
    </row>
    <row r="23" spans="1:12" x14ac:dyDescent="0.25">
      <c r="A23" s="34" t="s">
        <v>90</v>
      </c>
      <c r="B23" s="30">
        <f>('Case &amp; Scenario Parameters'!$C$10*'Unit Prices'!$C$11*$B$3)+('Case &amp; Scenario Parameters'!$C$10*'Unit Prices'!$C$12*$C$3)</f>
        <v>5250000</v>
      </c>
      <c r="C23" s="31"/>
      <c r="D23" s="31"/>
      <c r="E23" s="31"/>
      <c r="F23" s="31"/>
      <c r="G23" s="31"/>
      <c r="H23" s="31"/>
      <c r="I23" s="31"/>
      <c r="J23" s="31"/>
      <c r="K23" s="32"/>
      <c r="L23" s="33">
        <f t="shared" si="1"/>
        <v>5250000</v>
      </c>
    </row>
    <row r="24" spans="1:12" x14ac:dyDescent="0.25">
      <c r="A24" s="35" t="s">
        <v>91</v>
      </c>
      <c r="B24" s="30">
        <f>('Case &amp; Scenario Parameters'!$D$10*'Unit Prices'!$C$11*$B$3)+('Case &amp; Scenario Parameters'!$D$10*'Unit Prices'!$C$12*$C$3)</f>
        <v>250000</v>
      </c>
      <c r="C24" s="31"/>
      <c r="D24" s="31"/>
      <c r="E24" s="31"/>
      <c r="F24" s="31"/>
      <c r="G24" s="31"/>
      <c r="H24" s="31"/>
      <c r="I24" s="31"/>
      <c r="J24" s="31"/>
      <c r="K24" s="32"/>
      <c r="L24" s="33">
        <f t="shared" si="1"/>
        <v>250000</v>
      </c>
    </row>
    <row r="25" spans="1:12" x14ac:dyDescent="0.25">
      <c r="A25" s="34" t="s">
        <v>92</v>
      </c>
      <c r="B25" s="30">
        <f>('Case &amp; Scenario Parameters'!$E$10*'Unit Prices'!$C$11*$B$3)+('Case &amp; Scenario Parameters'!$E$10*'Unit Prices'!$C$12*$C$3)</f>
        <v>0</v>
      </c>
      <c r="C25" s="31"/>
      <c r="D25" s="31"/>
      <c r="E25" s="31"/>
      <c r="F25" s="31"/>
      <c r="G25" s="31"/>
      <c r="H25" s="31"/>
      <c r="I25" s="31"/>
      <c r="J25" s="31"/>
      <c r="K25" s="32"/>
      <c r="L25" s="33">
        <f t="shared" si="1"/>
        <v>0</v>
      </c>
    </row>
    <row r="26" spans="1:12" x14ac:dyDescent="0.25">
      <c r="A26" s="34" t="s">
        <v>93</v>
      </c>
      <c r="B26" s="30">
        <f>('Case &amp; Scenario Parameters'!$F$10*'Unit Prices'!$C$11*$B$3)+('Case &amp; Scenario Parameters'!$F$10*'Unit Prices'!$C$12*$C$3)</f>
        <v>0</v>
      </c>
      <c r="C26" s="31"/>
      <c r="D26" s="31"/>
      <c r="E26" s="31"/>
      <c r="F26" s="31"/>
      <c r="G26" s="31"/>
      <c r="H26" s="31"/>
      <c r="I26" s="31"/>
      <c r="J26" s="31"/>
      <c r="K26" s="32"/>
      <c r="L26" s="33">
        <f t="shared" si="1"/>
        <v>0</v>
      </c>
    </row>
    <row r="27" spans="1:12" x14ac:dyDescent="0.25">
      <c r="A27" s="34" t="s">
        <v>95</v>
      </c>
      <c r="B27" s="30">
        <f>SUM(B22:B26)*'Unit Prices'!$C$13</f>
        <v>178500</v>
      </c>
      <c r="C27" s="31"/>
      <c r="D27" s="31"/>
      <c r="E27" s="31"/>
      <c r="F27" s="31"/>
      <c r="G27" s="31"/>
      <c r="H27" s="31"/>
      <c r="I27" s="31"/>
      <c r="J27" s="31"/>
      <c r="K27" s="32"/>
      <c r="L27" s="33">
        <f t="shared" si="1"/>
        <v>178500</v>
      </c>
    </row>
    <row r="28" spans="1:12" x14ac:dyDescent="0.25">
      <c r="A28" s="34" t="s">
        <v>96</v>
      </c>
      <c r="B28" s="30"/>
      <c r="C28" s="31"/>
      <c r="D28" s="31"/>
      <c r="E28" s="31"/>
      <c r="F28" s="31"/>
      <c r="G28" s="31"/>
      <c r="H28" s="31"/>
      <c r="I28" s="31"/>
      <c r="J28" s="31"/>
      <c r="K28" s="32"/>
      <c r="L28" s="33"/>
    </row>
    <row r="29" spans="1:12" x14ac:dyDescent="0.25">
      <c r="A29" s="34" t="s">
        <v>97</v>
      </c>
      <c r="B29" s="30">
        <f>'Case &amp; Scenario Parameters'!$G$4*'Case &amp; Scenario Parameters'!$B$22*'Unit Prices'!$C$15*'Case &amp; Scenario Parameters'!$B$60</f>
        <v>25272</v>
      </c>
      <c r="C29" s="31"/>
      <c r="D29" s="31"/>
      <c r="E29" s="31"/>
      <c r="F29" s="31"/>
      <c r="G29" s="31"/>
      <c r="H29" s="31"/>
      <c r="I29" s="31"/>
      <c r="J29" s="31"/>
      <c r="K29" s="32"/>
      <c r="L29" s="33">
        <f t="shared" ref="L29:L38" si="2">SUM(B29:K29)</f>
        <v>25272</v>
      </c>
    </row>
    <row r="30" spans="1:12" x14ac:dyDescent="0.25">
      <c r="A30" s="34" t="s">
        <v>98</v>
      </c>
      <c r="B30" s="30">
        <f>'Case &amp; Scenario Parameters'!$G$4*'Case &amp; Scenario Parameters'!$B$22*'Unit Prices'!$C$16*'Case &amp; Scenario Parameters'!$B$60</f>
        <v>473850</v>
      </c>
      <c r="C30" s="31"/>
      <c r="D30" s="31"/>
      <c r="E30" s="31"/>
      <c r="F30" s="31"/>
      <c r="G30" s="31"/>
      <c r="H30" s="31"/>
      <c r="I30" s="31"/>
      <c r="J30" s="31"/>
      <c r="K30" s="32"/>
      <c r="L30" s="33">
        <f t="shared" si="2"/>
        <v>473850</v>
      </c>
    </row>
    <row r="31" spans="1:12" x14ac:dyDescent="0.25">
      <c r="A31" s="34" t="s">
        <v>99</v>
      </c>
      <c r="B31" s="30">
        <f>'Unit Prices'!$C$17</f>
        <v>100000</v>
      </c>
      <c r="C31" s="31"/>
      <c r="D31" s="31"/>
      <c r="E31" s="31"/>
      <c r="F31" s="31"/>
      <c r="G31" s="31"/>
      <c r="H31" s="31"/>
      <c r="I31" s="31"/>
      <c r="J31" s="31"/>
      <c r="K31" s="32"/>
      <c r="L31" s="33">
        <f t="shared" si="2"/>
        <v>100000</v>
      </c>
    </row>
    <row r="32" spans="1:12" x14ac:dyDescent="0.25">
      <c r="A32" s="34" t="s">
        <v>100</v>
      </c>
      <c r="B32" s="30">
        <f>($B$15+$B$16+$B$17+$B$18+$B$19+$B$22+$B$23+$B$24+$B$25+$B$26)*'Unit Prices'!$C$18</f>
        <v>1073800</v>
      </c>
      <c r="C32" s="31"/>
      <c r="D32" s="31"/>
      <c r="E32" s="31"/>
      <c r="F32" s="31"/>
      <c r="G32" s="31"/>
      <c r="H32" s="31"/>
      <c r="I32" s="31"/>
      <c r="J32" s="31"/>
      <c r="K32" s="32"/>
      <c r="L32" s="33">
        <f t="shared" si="2"/>
        <v>1073800</v>
      </c>
    </row>
    <row r="33" spans="1:12" x14ac:dyDescent="0.25">
      <c r="A33" s="34" t="s">
        <v>101</v>
      </c>
      <c r="B33" s="30">
        <f>($B$15+$B$16+$B$17+$B$18+$B$19+$B$22+$B$23+$B$24+$B$25+$B$26)*'Unit Prices'!$C$19</f>
        <v>1073800</v>
      </c>
      <c r="C33" s="31"/>
      <c r="D33" s="31"/>
      <c r="E33" s="31"/>
      <c r="F33" s="31"/>
      <c r="G33" s="31"/>
      <c r="H33" s="31"/>
      <c r="I33" s="31"/>
      <c r="J33" s="31"/>
      <c r="K33" s="32"/>
      <c r="L33" s="33">
        <f t="shared" si="2"/>
        <v>1073800</v>
      </c>
    </row>
    <row r="34" spans="1:12" x14ac:dyDescent="0.25">
      <c r="A34" s="34" t="s">
        <v>5</v>
      </c>
      <c r="B34" s="30">
        <f>'Unit Prices'!$C$20</f>
        <v>300000</v>
      </c>
      <c r="C34" s="31"/>
      <c r="D34" s="31"/>
      <c r="E34" s="31"/>
      <c r="F34" s="31"/>
      <c r="G34" s="31"/>
      <c r="H34" s="31"/>
      <c r="I34" s="31"/>
      <c r="J34" s="31"/>
      <c r="K34" s="32"/>
      <c r="L34" s="33">
        <f t="shared" si="2"/>
        <v>300000</v>
      </c>
    </row>
    <row r="35" spans="1:12" x14ac:dyDescent="0.25">
      <c r="A35" s="34" t="s">
        <v>102</v>
      </c>
      <c r="B35" s="30">
        <f>'Unit Prices'!$C$21</f>
        <v>35000</v>
      </c>
      <c r="C35" s="31"/>
      <c r="D35" s="31"/>
      <c r="E35" s="31"/>
      <c r="F35" s="31"/>
      <c r="G35" s="31"/>
      <c r="H35" s="31"/>
      <c r="I35" s="31"/>
      <c r="J35" s="31"/>
      <c r="K35" s="32"/>
      <c r="L35" s="33">
        <f t="shared" si="2"/>
        <v>35000</v>
      </c>
    </row>
    <row r="36" spans="1:12" x14ac:dyDescent="0.25">
      <c r="A36" s="34" t="s">
        <v>103</v>
      </c>
      <c r="B36" s="30">
        <f>'Unit Prices'!$C$22</f>
        <v>200000</v>
      </c>
      <c r="C36" s="31"/>
      <c r="D36" s="31"/>
      <c r="E36" s="31"/>
      <c r="F36" s="31"/>
      <c r="G36" s="31"/>
      <c r="H36" s="31"/>
      <c r="I36" s="31"/>
      <c r="J36" s="31"/>
      <c r="K36" s="32"/>
      <c r="L36" s="33">
        <f t="shared" si="2"/>
        <v>200000</v>
      </c>
    </row>
    <row r="37" spans="1:12" x14ac:dyDescent="0.25">
      <c r="A37" s="34" t="s">
        <v>104</v>
      </c>
      <c r="B37" s="30">
        <f>'Unit Prices'!$C$23</f>
        <v>300000</v>
      </c>
      <c r="C37" s="31"/>
      <c r="D37" s="31"/>
      <c r="E37" s="31"/>
      <c r="F37" s="31"/>
      <c r="G37" s="31"/>
      <c r="H37" s="31"/>
      <c r="I37" s="31"/>
      <c r="J37" s="31"/>
      <c r="K37" s="32"/>
      <c r="L37" s="33">
        <f t="shared" si="2"/>
        <v>300000</v>
      </c>
    </row>
    <row r="38" spans="1:12" x14ac:dyDescent="0.25">
      <c r="A38" s="34" t="s">
        <v>33</v>
      </c>
      <c r="B38" s="30">
        <f>SUM(B15:B37)*'Unit Prices'!$C$25</f>
        <v>1464186.2000000002</v>
      </c>
      <c r="C38" s="31"/>
      <c r="D38" s="31"/>
      <c r="E38" s="31"/>
      <c r="F38" s="31"/>
      <c r="G38" s="31"/>
      <c r="H38" s="31"/>
      <c r="I38" s="31"/>
      <c r="J38" s="31"/>
      <c r="K38" s="32"/>
      <c r="L38" s="33">
        <f t="shared" si="2"/>
        <v>1464186.2000000002</v>
      </c>
    </row>
    <row r="39" spans="1:12" x14ac:dyDescent="0.25">
      <c r="A39" s="24" t="s">
        <v>105</v>
      </c>
      <c r="B39" s="25"/>
      <c r="C39" s="26"/>
      <c r="D39" s="26"/>
      <c r="E39" s="26"/>
      <c r="F39" s="26"/>
      <c r="G39" s="26"/>
      <c r="H39" s="26"/>
      <c r="I39" s="26"/>
      <c r="J39" s="26"/>
      <c r="K39" s="27"/>
      <c r="L39" s="28"/>
    </row>
    <row r="40" spans="1:12" x14ac:dyDescent="0.25">
      <c r="A40" s="34" t="s">
        <v>106</v>
      </c>
      <c r="B40" s="30"/>
      <c r="C40" s="31">
        <f>($B$15+$B$16+$B$17+$B$18+$B$19+$B$22+$B$23+$B$24+$B$25+$B$26)*'Unit Prices'!$C$28</f>
        <v>536900</v>
      </c>
      <c r="D40" s="31">
        <f t="shared" ref="D40:K40" si="3">C40</f>
        <v>536900</v>
      </c>
      <c r="E40" s="31">
        <f t="shared" si="3"/>
        <v>536900</v>
      </c>
      <c r="F40" s="31">
        <f t="shared" si="3"/>
        <v>536900</v>
      </c>
      <c r="G40" s="31">
        <f t="shared" si="3"/>
        <v>536900</v>
      </c>
      <c r="H40" s="31">
        <f t="shared" si="3"/>
        <v>536900</v>
      </c>
      <c r="I40" s="31">
        <f t="shared" si="3"/>
        <v>536900</v>
      </c>
      <c r="J40" s="31">
        <f t="shared" si="3"/>
        <v>536900</v>
      </c>
      <c r="K40" s="31">
        <f t="shared" si="3"/>
        <v>536900</v>
      </c>
      <c r="L40" s="33">
        <f t="shared" ref="L40:L61" si="4">SUM(B40:K40)</f>
        <v>4832100</v>
      </c>
    </row>
    <row r="41" spans="1:12" x14ac:dyDescent="0.25">
      <c r="A41" s="34" t="s">
        <v>107</v>
      </c>
      <c r="B41" s="30"/>
      <c r="C41" s="31"/>
      <c r="D41" s="31">
        <f t="shared" ref="D41:K56" si="5">C41</f>
        <v>0</v>
      </c>
      <c r="E41" s="31">
        <f t="shared" si="5"/>
        <v>0</v>
      </c>
      <c r="F41" s="31">
        <f t="shared" si="5"/>
        <v>0</v>
      </c>
      <c r="G41" s="31">
        <f t="shared" si="5"/>
        <v>0</v>
      </c>
      <c r="H41" s="31">
        <f t="shared" si="5"/>
        <v>0</v>
      </c>
      <c r="I41" s="31">
        <f t="shared" si="5"/>
        <v>0</v>
      </c>
      <c r="J41" s="31">
        <f t="shared" si="5"/>
        <v>0</v>
      </c>
      <c r="K41" s="31">
        <f t="shared" si="5"/>
        <v>0</v>
      </c>
      <c r="L41" s="33">
        <f t="shared" si="4"/>
        <v>0</v>
      </c>
    </row>
    <row r="42" spans="1:12" x14ac:dyDescent="0.25">
      <c r="A42" s="34" t="s">
        <v>89</v>
      </c>
      <c r="B42" s="30"/>
      <c r="C42" s="31">
        <f>B15*'Case &amp; Scenario Parameters'!$B$59</f>
        <v>227500</v>
      </c>
      <c r="D42" s="31">
        <f t="shared" si="5"/>
        <v>227500</v>
      </c>
      <c r="E42" s="31">
        <f t="shared" si="5"/>
        <v>227500</v>
      </c>
      <c r="F42" s="31">
        <f t="shared" si="5"/>
        <v>227500</v>
      </c>
      <c r="G42" s="31">
        <f t="shared" si="5"/>
        <v>227500</v>
      </c>
      <c r="H42" s="31">
        <f t="shared" si="5"/>
        <v>227500</v>
      </c>
      <c r="I42" s="31">
        <f t="shared" si="5"/>
        <v>227500</v>
      </c>
      <c r="J42" s="31">
        <f t="shared" si="5"/>
        <v>227500</v>
      </c>
      <c r="K42" s="31">
        <f t="shared" si="5"/>
        <v>227500</v>
      </c>
      <c r="L42" s="33">
        <f t="shared" si="4"/>
        <v>2047500</v>
      </c>
    </row>
    <row r="43" spans="1:12" x14ac:dyDescent="0.25">
      <c r="A43" s="34" t="s">
        <v>90</v>
      </c>
      <c r="B43" s="30"/>
      <c r="C43" s="31">
        <f>B16*'Case &amp; Scenario Parameters'!$B$59</f>
        <v>0</v>
      </c>
      <c r="D43" s="31">
        <f t="shared" si="5"/>
        <v>0</v>
      </c>
      <c r="E43" s="31">
        <f t="shared" si="5"/>
        <v>0</v>
      </c>
      <c r="F43" s="31">
        <f t="shared" si="5"/>
        <v>0</v>
      </c>
      <c r="G43" s="31">
        <f t="shared" si="5"/>
        <v>0</v>
      </c>
      <c r="H43" s="31">
        <f t="shared" si="5"/>
        <v>0</v>
      </c>
      <c r="I43" s="31">
        <f t="shared" si="5"/>
        <v>0</v>
      </c>
      <c r="J43" s="31">
        <f t="shared" si="5"/>
        <v>0</v>
      </c>
      <c r="K43" s="31">
        <f t="shared" si="5"/>
        <v>0</v>
      </c>
      <c r="L43" s="33">
        <f t="shared" si="4"/>
        <v>0</v>
      </c>
    </row>
    <row r="44" spans="1:12" x14ac:dyDescent="0.25">
      <c r="A44" s="35" t="s">
        <v>91</v>
      </c>
      <c r="B44" s="30"/>
      <c r="C44" s="31">
        <f>B17*'Case &amp; Scenario Parameters'!$B$59</f>
        <v>0</v>
      </c>
      <c r="D44" s="31">
        <f t="shared" si="5"/>
        <v>0</v>
      </c>
      <c r="E44" s="31">
        <f t="shared" si="5"/>
        <v>0</v>
      </c>
      <c r="F44" s="31">
        <f t="shared" si="5"/>
        <v>0</v>
      </c>
      <c r="G44" s="31">
        <f t="shared" si="5"/>
        <v>0</v>
      </c>
      <c r="H44" s="31">
        <f t="shared" si="5"/>
        <v>0</v>
      </c>
      <c r="I44" s="31">
        <f t="shared" si="5"/>
        <v>0</v>
      </c>
      <c r="J44" s="31">
        <f t="shared" si="5"/>
        <v>0</v>
      </c>
      <c r="K44" s="31">
        <f t="shared" si="5"/>
        <v>0</v>
      </c>
      <c r="L44" s="33">
        <f t="shared" si="4"/>
        <v>0</v>
      </c>
    </row>
    <row r="45" spans="1:12" x14ac:dyDescent="0.25">
      <c r="A45" s="34" t="s">
        <v>92</v>
      </c>
      <c r="B45" s="30"/>
      <c r="C45" s="31">
        <f>B18*'Case &amp; Scenario Parameters'!$B$59</f>
        <v>11900</v>
      </c>
      <c r="D45" s="31">
        <f t="shared" si="5"/>
        <v>11900</v>
      </c>
      <c r="E45" s="31">
        <f t="shared" si="5"/>
        <v>11900</v>
      </c>
      <c r="F45" s="31">
        <f t="shared" si="5"/>
        <v>11900</v>
      </c>
      <c r="G45" s="31">
        <f t="shared" si="5"/>
        <v>11900</v>
      </c>
      <c r="H45" s="31">
        <f t="shared" si="5"/>
        <v>11900</v>
      </c>
      <c r="I45" s="31">
        <f t="shared" si="5"/>
        <v>11900</v>
      </c>
      <c r="J45" s="31">
        <f t="shared" si="5"/>
        <v>11900</v>
      </c>
      <c r="K45" s="31">
        <f t="shared" si="5"/>
        <v>11900</v>
      </c>
      <c r="L45" s="33">
        <f t="shared" si="4"/>
        <v>107100</v>
      </c>
    </row>
    <row r="46" spans="1:12" x14ac:dyDescent="0.25">
      <c r="A46" s="34" t="s">
        <v>93</v>
      </c>
      <c r="B46" s="30"/>
      <c r="C46" s="31">
        <f>B19*'Case &amp; Scenario Parameters'!$B$59</f>
        <v>0</v>
      </c>
      <c r="D46" s="31">
        <f t="shared" si="5"/>
        <v>0</v>
      </c>
      <c r="E46" s="31">
        <f t="shared" si="5"/>
        <v>0</v>
      </c>
      <c r="F46" s="31">
        <f t="shared" si="5"/>
        <v>0</v>
      </c>
      <c r="G46" s="31">
        <f t="shared" si="5"/>
        <v>0</v>
      </c>
      <c r="H46" s="31">
        <f t="shared" si="5"/>
        <v>0</v>
      </c>
      <c r="I46" s="31">
        <f t="shared" si="5"/>
        <v>0</v>
      </c>
      <c r="J46" s="31">
        <f t="shared" si="5"/>
        <v>0</v>
      </c>
      <c r="K46" s="31">
        <f t="shared" si="5"/>
        <v>0</v>
      </c>
      <c r="L46" s="33">
        <f t="shared" si="4"/>
        <v>0</v>
      </c>
    </row>
    <row r="47" spans="1:12" x14ac:dyDescent="0.25">
      <c r="A47" s="34" t="s">
        <v>94</v>
      </c>
      <c r="B47" s="30"/>
      <c r="C47" s="31">
        <f>SUM(C42:C46)*'Unit Prices'!$C$9</f>
        <v>7182</v>
      </c>
      <c r="D47" s="31">
        <f t="shared" si="5"/>
        <v>7182</v>
      </c>
      <c r="E47" s="31">
        <f t="shared" si="5"/>
        <v>7182</v>
      </c>
      <c r="F47" s="31">
        <f t="shared" si="5"/>
        <v>7182</v>
      </c>
      <c r="G47" s="31">
        <f t="shared" si="5"/>
        <v>7182</v>
      </c>
      <c r="H47" s="31">
        <f t="shared" si="5"/>
        <v>7182</v>
      </c>
      <c r="I47" s="31">
        <f t="shared" si="5"/>
        <v>7182</v>
      </c>
      <c r="J47" s="31">
        <f t="shared" si="5"/>
        <v>7182</v>
      </c>
      <c r="K47" s="31">
        <f t="shared" si="5"/>
        <v>7182</v>
      </c>
      <c r="L47" s="33">
        <f t="shared" si="4"/>
        <v>64638</v>
      </c>
    </row>
    <row r="48" spans="1:12" x14ac:dyDescent="0.25">
      <c r="A48" s="51" t="s">
        <v>153</v>
      </c>
      <c r="B48" s="30"/>
      <c r="C48" s="31"/>
      <c r="D48" s="31">
        <f t="shared" si="5"/>
        <v>0</v>
      </c>
      <c r="E48" s="31">
        <f t="shared" si="5"/>
        <v>0</v>
      </c>
      <c r="F48" s="31">
        <f t="shared" si="5"/>
        <v>0</v>
      </c>
      <c r="G48" s="31">
        <f t="shared" si="5"/>
        <v>0</v>
      </c>
      <c r="H48" s="31">
        <f t="shared" si="5"/>
        <v>0</v>
      </c>
      <c r="I48" s="31">
        <f t="shared" si="5"/>
        <v>0</v>
      </c>
      <c r="J48" s="31">
        <f t="shared" si="5"/>
        <v>0</v>
      </c>
      <c r="K48" s="31">
        <f t="shared" si="5"/>
        <v>0</v>
      </c>
      <c r="L48" s="33">
        <f t="shared" si="4"/>
        <v>0</v>
      </c>
    </row>
    <row r="49" spans="1:12" x14ac:dyDescent="0.25">
      <c r="A49" s="34" t="s">
        <v>89</v>
      </c>
      <c r="B49" s="30"/>
      <c r="C49" s="31">
        <f>B22*'Case &amp; Scenario Parameters'!$B$59</f>
        <v>22500</v>
      </c>
      <c r="D49" s="31">
        <f t="shared" si="5"/>
        <v>22500</v>
      </c>
      <c r="E49" s="31">
        <f t="shared" si="5"/>
        <v>22500</v>
      </c>
      <c r="F49" s="31">
        <f t="shared" si="5"/>
        <v>22500</v>
      </c>
      <c r="G49" s="31">
        <f t="shared" si="5"/>
        <v>22500</v>
      </c>
      <c r="H49" s="31">
        <f t="shared" si="5"/>
        <v>22500</v>
      </c>
      <c r="I49" s="31">
        <f t="shared" si="5"/>
        <v>22500</v>
      </c>
      <c r="J49" s="31">
        <f t="shared" si="5"/>
        <v>22500</v>
      </c>
      <c r="K49" s="31">
        <f t="shared" si="5"/>
        <v>22500</v>
      </c>
      <c r="L49" s="33">
        <f t="shared" si="4"/>
        <v>202500</v>
      </c>
    </row>
    <row r="50" spans="1:12" x14ac:dyDescent="0.25">
      <c r="A50" s="34" t="s">
        <v>90</v>
      </c>
      <c r="B50" s="30"/>
      <c r="C50" s="31">
        <f>B23*'Case &amp; Scenario Parameters'!$B$59</f>
        <v>262500</v>
      </c>
      <c r="D50" s="31">
        <f t="shared" si="5"/>
        <v>262500</v>
      </c>
      <c r="E50" s="31">
        <f t="shared" si="5"/>
        <v>262500</v>
      </c>
      <c r="F50" s="31">
        <f t="shared" si="5"/>
        <v>262500</v>
      </c>
      <c r="G50" s="31">
        <f t="shared" si="5"/>
        <v>262500</v>
      </c>
      <c r="H50" s="31">
        <f t="shared" si="5"/>
        <v>262500</v>
      </c>
      <c r="I50" s="31">
        <f t="shared" si="5"/>
        <v>262500</v>
      </c>
      <c r="J50" s="31">
        <f t="shared" si="5"/>
        <v>262500</v>
      </c>
      <c r="K50" s="31">
        <f t="shared" si="5"/>
        <v>262500</v>
      </c>
      <c r="L50" s="33">
        <f t="shared" si="4"/>
        <v>2362500</v>
      </c>
    </row>
    <row r="51" spans="1:12" x14ac:dyDescent="0.25">
      <c r="A51" s="35" t="s">
        <v>91</v>
      </c>
      <c r="B51" s="30"/>
      <c r="C51" s="31">
        <f>B24*'Case &amp; Scenario Parameters'!$B$59</f>
        <v>12500</v>
      </c>
      <c r="D51" s="31">
        <f t="shared" si="5"/>
        <v>12500</v>
      </c>
      <c r="E51" s="31">
        <f t="shared" si="5"/>
        <v>12500</v>
      </c>
      <c r="F51" s="31">
        <f t="shared" si="5"/>
        <v>12500</v>
      </c>
      <c r="G51" s="31">
        <f t="shared" si="5"/>
        <v>12500</v>
      </c>
      <c r="H51" s="31">
        <f t="shared" si="5"/>
        <v>12500</v>
      </c>
      <c r="I51" s="31">
        <f t="shared" si="5"/>
        <v>12500</v>
      </c>
      <c r="J51" s="31">
        <f t="shared" si="5"/>
        <v>12500</v>
      </c>
      <c r="K51" s="31">
        <f t="shared" si="5"/>
        <v>12500</v>
      </c>
      <c r="L51" s="33">
        <f t="shared" si="4"/>
        <v>112500</v>
      </c>
    </row>
    <row r="52" spans="1:12" x14ac:dyDescent="0.25">
      <c r="A52" s="34" t="s">
        <v>92</v>
      </c>
      <c r="B52" s="30"/>
      <c r="C52" s="31">
        <f>B25*'Case &amp; Scenario Parameters'!$B$59</f>
        <v>0</v>
      </c>
      <c r="D52" s="31">
        <f t="shared" si="5"/>
        <v>0</v>
      </c>
      <c r="E52" s="31">
        <f t="shared" si="5"/>
        <v>0</v>
      </c>
      <c r="F52" s="31">
        <f t="shared" si="5"/>
        <v>0</v>
      </c>
      <c r="G52" s="31">
        <f t="shared" si="5"/>
        <v>0</v>
      </c>
      <c r="H52" s="31">
        <f t="shared" si="5"/>
        <v>0</v>
      </c>
      <c r="I52" s="31">
        <f t="shared" si="5"/>
        <v>0</v>
      </c>
      <c r="J52" s="31">
        <f t="shared" si="5"/>
        <v>0</v>
      </c>
      <c r="K52" s="31">
        <f t="shared" si="5"/>
        <v>0</v>
      </c>
      <c r="L52" s="33">
        <f t="shared" si="4"/>
        <v>0</v>
      </c>
    </row>
    <row r="53" spans="1:12" x14ac:dyDescent="0.25">
      <c r="A53" s="34" t="s">
        <v>93</v>
      </c>
      <c r="B53" s="30"/>
      <c r="C53" s="31">
        <f>B26*'Case &amp; Scenario Parameters'!$B$59</f>
        <v>0</v>
      </c>
      <c r="D53" s="31">
        <f t="shared" si="5"/>
        <v>0</v>
      </c>
      <c r="E53" s="31">
        <f t="shared" si="5"/>
        <v>0</v>
      </c>
      <c r="F53" s="31">
        <f t="shared" si="5"/>
        <v>0</v>
      </c>
      <c r="G53" s="31">
        <f t="shared" si="5"/>
        <v>0</v>
      </c>
      <c r="H53" s="31">
        <f t="shared" si="5"/>
        <v>0</v>
      </c>
      <c r="I53" s="31">
        <f t="shared" si="5"/>
        <v>0</v>
      </c>
      <c r="J53" s="31">
        <f t="shared" si="5"/>
        <v>0</v>
      </c>
      <c r="K53" s="31">
        <f t="shared" si="5"/>
        <v>0</v>
      </c>
      <c r="L53" s="33">
        <f t="shared" si="4"/>
        <v>0</v>
      </c>
    </row>
    <row r="54" spans="1:12" x14ac:dyDescent="0.25">
      <c r="A54" s="34" t="s">
        <v>95</v>
      </c>
      <c r="B54" s="30"/>
      <c r="C54" s="31">
        <f>SUM(C49:C53)*'Unit Prices'!$C$13</f>
        <v>8925</v>
      </c>
      <c r="D54" s="31">
        <f t="shared" si="5"/>
        <v>8925</v>
      </c>
      <c r="E54" s="31">
        <f t="shared" si="5"/>
        <v>8925</v>
      </c>
      <c r="F54" s="31">
        <f t="shared" si="5"/>
        <v>8925</v>
      </c>
      <c r="G54" s="31">
        <f t="shared" si="5"/>
        <v>8925</v>
      </c>
      <c r="H54" s="31">
        <f t="shared" si="5"/>
        <v>8925</v>
      </c>
      <c r="I54" s="31">
        <f t="shared" si="5"/>
        <v>8925</v>
      </c>
      <c r="J54" s="31">
        <f t="shared" si="5"/>
        <v>8925</v>
      </c>
      <c r="K54" s="31">
        <f t="shared" si="5"/>
        <v>8925</v>
      </c>
      <c r="L54" s="33">
        <f t="shared" si="4"/>
        <v>80325</v>
      </c>
    </row>
    <row r="55" spans="1:12" x14ac:dyDescent="0.25">
      <c r="A55" s="51" t="s">
        <v>154</v>
      </c>
      <c r="B55" s="30"/>
      <c r="C55" s="31"/>
      <c r="D55" s="31">
        <f t="shared" si="5"/>
        <v>0</v>
      </c>
      <c r="E55" s="31">
        <f t="shared" si="5"/>
        <v>0</v>
      </c>
      <c r="F55" s="31">
        <f t="shared" si="5"/>
        <v>0</v>
      </c>
      <c r="G55" s="31">
        <f t="shared" si="5"/>
        <v>0</v>
      </c>
      <c r="H55" s="31">
        <f t="shared" si="5"/>
        <v>0</v>
      </c>
      <c r="I55" s="31">
        <f t="shared" si="5"/>
        <v>0</v>
      </c>
      <c r="J55" s="31">
        <f t="shared" si="5"/>
        <v>0</v>
      </c>
      <c r="K55" s="31">
        <f t="shared" si="5"/>
        <v>0</v>
      </c>
      <c r="L55" s="33">
        <f t="shared" si="4"/>
        <v>0</v>
      </c>
    </row>
    <row r="56" spans="1:12" x14ac:dyDescent="0.25">
      <c r="A56" s="34" t="s">
        <v>97</v>
      </c>
      <c r="B56" s="30"/>
      <c r="C56" s="31">
        <f>B29*'Case &amp; Scenario Parameters'!$B$61</f>
        <v>2527.2000000000003</v>
      </c>
      <c r="D56" s="31">
        <f t="shared" si="5"/>
        <v>2527.2000000000003</v>
      </c>
      <c r="E56" s="31">
        <f t="shared" si="5"/>
        <v>2527.2000000000003</v>
      </c>
      <c r="F56" s="31">
        <f t="shared" si="5"/>
        <v>2527.2000000000003</v>
      </c>
      <c r="G56" s="31">
        <f t="shared" si="5"/>
        <v>2527.2000000000003</v>
      </c>
      <c r="H56" s="31">
        <f t="shared" si="5"/>
        <v>2527.2000000000003</v>
      </c>
      <c r="I56" s="31">
        <f t="shared" si="5"/>
        <v>2527.2000000000003</v>
      </c>
      <c r="J56" s="31">
        <f t="shared" si="5"/>
        <v>2527.2000000000003</v>
      </c>
      <c r="K56" s="31">
        <f t="shared" si="5"/>
        <v>2527.2000000000003</v>
      </c>
      <c r="L56" s="33">
        <f t="shared" si="4"/>
        <v>22744.800000000003</v>
      </c>
    </row>
    <row r="57" spans="1:12" x14ac:dyDescent="0.25">
      <c r="A57" s="34" t="s">
        <v>98</v>
      </c>
      <c r="B57" s="30"/>
      <c r="C57" s="31">
        <f>B30*'Case &amp; Scenario Parameters'!$B$61</f>
        <v>47385</v>
      </c>
      <c r="D57" s="31">
        <f t="shared" ref="D57:K60" si="6">C57</f>
        <v>47385</v>
      </c>
      <c r="E57" s="31">
        <f t="shared" si="6"/>
        <v>47385</v>
      </c>
      <c r="F57" s="31">
        <f t="shared" si="6"/>
        <v>47385</v>
      </c>
      <c r="G57" s="31">
        <f t="shared" si="6"/>
        <v>47385</v>
      </c>
      <c r="H57" s="31">
        <f t="shared" si="6"/>
        <v>47385</v>
      </c>
      <c r="I57" s="31">
        <f t="shared" si="6"/>
        <v>47385</v>
      </c>
      <c r="J57" s="31">
        <f t="shared" si="6"/>
        <v>47385</v>
      </c>
      <c r="K57" s="31">
        <f t="shared" si="6"/>
        <v>47385</v>
      </c>
      <c r="L57" s="33">
        <f t="shared" si="4"/>
        <v>426465</v>
      </c>
    </row>
    <row r="58" spans="1:12" x14ac:dyDescent="0.25">
      <c r="A58" s="34" t="s">
        <v>108</v>
      </c>
      <c r="B58" s="30"/>
      <c r="C58" s="31">
        <f>SUM(C40:C57)*'Unit Prices'!$C$37</f>
        <v>113981.92</v>
      </c>
      <c r="D58" s="31">
        <f t="shared" si="6"/>
        <v>113981.92</v>
      </c>
      <c r="E58" s="31">
        <f t="shared" si="6"/>
        <v>113981.92</v>
      </c>
      <c r="F58" s="31">
        <f t="shared" si="6"/>
        <v>113981.92</v>
      </c>
      <c r="G58" s="31">
        <f t="shared" si="6"/>
        <v>113981.92</v>
      </c>
      <c r="H58" s="31">
        <f t="shared" si="6"/>
        <v>113981.92</v>
      </c>
      <c r="I58" s="31">
        <f t="shared" si="6"/>
        <v>113981.92</v>
      </c>
      <c r="J58" s="31">
        <f t="shared" si="6"/>
        <v>113981.92</v>
      </c>
      <c r="K58" s="31">
        <f t="shared" si="6"/>
        <v>113981.92</v>
      </c>
      <c r="L58" s="33">
        <f t="shared" si="4"/>
        <v>1025837.2800000001</v>
      </c>
    </row>
    <row r="59" spans="1:12" x14ac:dyDescent="0.25">
      <c r="A59" s="51" t="s">
        <v>135</v>
      </c>
      <c r="B59" s="36">
        <f>B$63*$B$5*'Unit Prices'!$C$38</f>
        <v>322773.75</v>
      </c>
      <c r="C59" s="36">
        <f>B59</f>
        <v>322773.75</v>
      </c>
      <c r="D59" s="36">
        <f t="shared" si="6"/>
        <v>322773.75</v>
      </c>
      <c r="E59" s="36">
        <f t="shared" si="6"/>
        <v>322773.75</v>
      </c>
      <c r="F59" s="36">
        <f t="shared" si="6"/>
        <v>322773.75</v>
      </c>
      <c r="G59" s="36">
        <f t="shared" si="6"/>
        <v>322773.75</v>
      </c>
      <c r="H59" s="36">
        <f t="shared" si="6"/>
        <v>322773.75</v>
      </c>
      <c r="I59" s="36">
        <f t="shared" si="6"/>
        <v>322773.75</v>
      </c>
      <c r="J59" s="36">
        <f t="shared" si="6"/>
        <v>322773.75</v>
      </c>
      <c r="K59" s="36">
        <f t="shared" si="6"/>
        <v>322773.75</v>
      </c>
      <c r="L59" s="33">
        <f t="shared" si="4"/>
        <v>3227737.5</v>
      </c>
    </row>
    <row r="60" spans="1:12" x14ac:dyDescent="0.25">
      <c r="A60" s="51" t="s">
        <v>136</v>
      </c>
      <c r="B60" s="30">
        <f>B$63*'Unit Prices'!$C$39*$B$6</f>
        <v>0</v>
      </c>
      <c r="C60" s="73">
        <f>B60</f>
        <v>0</v>
      </c>
      <c r="D60" s="73">
        <f t="shared" si="6"/>
        <v>0</v>
      </c>
      <c r="E60" s="73">
        <f t="shared" si="6"/>
        <v>0</v>
      </c>
      <c r="F60" s="73">
        <f t="shared" si="6"/>
        <v>0</v>
      </c>
      <c r="G60" s="73">
        <f t="shared" si="6"/>
        <v>0</v>
      </c>
      <c r="H60" s="73">
        <f t="shared" si="6"/>
        <v>0</v>
      </c>
      <c r="I60" s="73">
        <f t="shared" si="6"/>
        <v>0</v>
      </c>
      <c r="J60" s="73">
        <f t="shared" si="6"/>
        <v>0</v>
      </c>
      <c r="K60" s="73">
        <f t="shared" si="6"/>
        <v>0</v>
      </c>
      <c r="L60" s="33">
        <f t="shared" si="4"/>
        <v>0</v>
      </c>
    </row>
    <row r="61" spans="1:12" x14ac:dyDescent="0.25">
      <c r="A61" s="37" t="s">
        <v>114</v>
      </c>
      <c r="B61" s="38">
        <f t="shared" ref="B61:K61" si="7">SUM(B15:B58)+B59+B60</f>
        <v>16428821.949999999</v>
      </c>
      <c r="C61" s="39">
        <f t="shared" si="7"/>
        <v>1576574.8699999999</v>
      </c>
      <c r="D61" s="39">
        <f t="shared" si="7"/>
        <v>1576574.8699999999</v>
      </c>
      <c r="E61" s="39">
        <f t="shared" si="7"/>
        <v>1576574.8699999999</v>
      </c>
      <c r="F61" s="39">
        <f t="shared" si="7"/>
        <v>1576574.8699999999</v>
      </c>
      <c r="G61" s="39">
        <f t="shared" si="7"/>
        <v>1576574.8699999999</v>
      </c>
      <c r="H61" s="39">
        <f t="shared" si="7"/>
        <v>1576574.8699999999</v>
      </c>
      <c r="I61" s="39">
        <f t="shared" si="7"/>
        <v>1576574.8699999999</v>
      </c>
      <c r="J61" s="39">
        <f t="shared" si="7"/>
        <v>1576574.8699999999</v>
      </c>
      <c r="K61" s="40">
        <f t="shared" si="7"/>
        <v>1576574.8699999999</v>
      </c>
      <c r="L61" s="41">
        <f t="shared" si="4"/>
        <v>30617995.780000009</v>
      </c>
    </row>
    <row r="62" spans="1:12" x14ac:dyDescent="0.25">
      <c r="A62" s="24" t="s">
        <v>117</v>
      </c>
      <c r="B62" s="25"/>
      <c r="C62" s="26"/>
      <c r="D62" s="26"/>
      <c r="E62" s="26"/>
      <c r="F62" s="26"/>
      <c r="G62" s="26"/>
      <c r="H62" s="26"/>
      <c r="I62" s="26"/>
      <c r="J62" s="26"/>
      <c r="K62" s="27"/>
      <c r="L62" s="28"/>
    </row>
    <row r="63" spans="1:12" x14ac:dyDescent="0.25">
      <c r="A63" s="37" t="s">
        <v>115</v>
      </c>
      <c r="B63" s="38">
        <f>'Case &amp; Scenario Parameters'!$G$11*$B$4</f>
        <v>107591250</v>
      </c>
      <c r="C63" s="38">
        <f>'Case &amp; Scenario Parameters'!$G$11*$B$4</f>
        <v>107591250</v>
      </c>
      <c r="D63" s="38">
        <f>'Case &amp; Scenario Parameters'!$G$11*$B$4</f>
        <v>107591250</v>
      </c>
      <c r="E63" s="38">
        <f>'Case &amp; Scenario Parameters'!$G$11*$B$4</f>
        <v>107591250</v>
      </c>
      <c r="F63" s="38">
        <f>'Case &amp; Scenario Parameters'!$G$11*$B$4</f>
        <v>107591250</v>
      </c>
      <c r="G63" s="38">
        <f>'Case &amp; Scenario Parameters'!$G$11*$B$4</f>
        <v>107591250</v>
      </c>
      <c r="H63" s="38">
        <f>'Case &amp; Scenario Parameters'!$G$11*$B$4</f>
        <v>107591250</v>
      </c>
      <c r="I63" s="38">
        <f>'Case &amp; Scenario Parameters'!$G$11*$B$4</f>
        <v>107591250</v>
      </c>
      <c r="J63" s="38">
        <f>'Case &amp; Scenario Parameters'!$G$11*$B$4</f>
        <v>107591250</v>
      </c>
      <c r="K63" s="38">
        <f>'Case &amp; Scenario Parameters'!$G$11*$B$4</f>
        <v>107591250</v>
      </c>
      <c r="L63" s="41">
        <f>SUM(B63:K63)</f>
        <v>1075912500</v>
      </c>
    </row>
    <row r="64" spans="1:12" x14ac:dyDescent="0.25">
      <c r="A64" s="42"/>
      <c r="B64" s="30"/>
      <c r="C64" s="31"/>
      <c r="D64" s="31"/>
      <c r="E64" s="31"/>
      <c r="F64" s="31"/>
      <c r="G64" s="31"/>
      <c r="H64" s="31"/>
      <c r="I64" s="31"/>
      <c r="J64" s="31"/>
      <c r="K64" s="32"/>
      <c r="L64" s="33"/>
    </row>
    <row r="65" spans="1:12" ht="14.25" x14ac:dyDescent="0.2"/>
    <row r="66" spans="1:12" ht="15.75" thickBot="1" x14ac:dyDescent="0.3">
      <c r="A66" s="71" t="s">
        <v>146</v>
      </c>
      <c r="C66" s="18"/>
      <c r="D66" s="18"/>
      <c r="E66" s="18"/>
      <c r="F66" s="18"/>
      <c r="G66" s="18"/>
      <c r="H66" s="18"/>
      <c r="I66" s="18"/>
      <c r="J66" s="18"/>
      <c r="K66" s="18"/>
    </row>
    <row r="67" spans="1:12" x14ac:dyDescent="0.25">
      <c r="A67" s="19"/>
      <c r="B67" s="20" t="s">
        <v>77</v>
      </c>
      <c r="C67" s="21" t="s">
        <v>78</v>
      </c>
      <c r="D67" s="21" t="s">
        <v>79</v>
      </c>
      <c r="E67" s="21" t="s">
        <v>80</v>
      </c>
      <c r="F67" s="21" t="s">
        <v>81</v>
      </c>
      <c r="G67" s="21" t="s">
        <v>82</v>
      </c>
      <c r="H67" s="21" t="s">
        <v>83</v>
      </c>
      <c r="I67" s="21" t="s">
        <v>84</v>
      </c>
      <c r="J67" s="21" t="s">
        <v>85</v>
      </c>
      <c r="K67" s="22" t="s">
        <v>88</v>
      </c>
      <c r="L67" s="23" t="s">
        <v>55</v>
      </c>
    </row>
    <row r="68" spans="1:12" ht="15" customHeight="1" x14ac:dyDescent="0.25">
      <c r="A68" s="24" t="s">
        <v>4</v>
      </c>
      <c r="B68" s="25"/>
      <c r="C68" s="26"/>
      <c r="D68" s="26"/>
      <c r="E68" s="26"/>
      <c r="F68" s="26"/>
      <c r="G68" s="26"/>
      <c r="H68" s="26"/>
      <c r="I68" s="26"/>
      <c r="J68" s="26"/>
      <c r="K68" s="27"/>
      <c r="L68" s="28"/>
    </row>
    <row r="69" spans="1:12" ht="15" customHeight="1" x14ac:dyDescent="0.25">
      <c r="A69" s="24" t="s">
        <v>10</v>
      </c>
      <c r="B69" s="25"/>
      <c r="C69" s="26"/>
      <c r="D69" s="26"/>
      <c r="E69" s="26"/>
      <c r="F69" s="26"/>
      <c r="G69" s="26"/>
      <c r="H69" s="26"/>
      <c r="I69" s="26"/>
      <c r="J69" s="26"/>
      <c r="K69" s="27"/>
      <c r="L69" s="28"/>
    </row>
    <row r="70" spans="1:12" x14ac:dyDescent="0.25">
      <c r="A70" s="34" t="s">
        <v>58</v>
      </c>
      <c r="B70" s="30"/>
      <c r="C70" s="31"/>
      <c r="D70" s="31"/>
      <c r="E70" s="31"/>
      <c r="F70" s="31"/>
      <c r="G70" s="31"/>
      <c r="H70" s="31"/>
      <c r="I70" s="31"/>
      <c r="J70" s="31"/>
      <c r="K70" s="32"/>
      <c r="L70" s="33"/>
    </row>
    <row r="71" spans="1:12" x14ac:dyDescent="0.25">
      <c r="A71" s="34" t="s">
        <v>89</v>
      </c>
      <c r="B71" s="30">
        <f>('Case &amp; Scenario Parameters'!$B$7*'Unit Prices'!$D$7*$B$2)+('Case &amp; Scenario Parameters'!$B$7*'Unit Prices'!$D$8*$C$2)</f>
        <v>6500000</v>
      </c>
      <c r="C71" s="31"/>
      <c r="D71" s="31"/>
      <c r="E71" s="31"/>
      <c r="F71" s="31"/>
      <c r="G71" s="31"/>
      <c r="H71" s="31"/>
      <c r="I71" s="31"/>
      <c r="J71" s="31"/>
      <c r="K71" s="32"/>
      <c r="L71" s="33">
        <f t="shared" ref="L71:L76" si="8">SUM(B71:K71)</f>
        <v>6500000</v>
      </c>
    </row>
    <row r="72" spans="1:12" x14ac:dyDescent="0.25">
      <c r="A72" s="34" t="s">
        <v>90</v>
      </c>
      <c r="B72" s="30">
        <f>('Case &amp; Scenario Parameters'!$C$7*'Unit Prices'!$D$7*$B$2)+('Case &amp; Scenario Parameters'!$C$7*'Unit Prices'!$D$8*$C$2)</f>
        <v>0</v>
      </c>
      <c r="C72" s="31"/>
      <c r="D72" s="31"/>
      <c r="E72" s="31"/>
      <c r="F72" s="31"/>
      <c r="G72" s="31"/>
      <c r="H72" s="31"/>
      <c r="I72" s="31"/>
      <c r="J72" s="31"/>
      <c r="K72" s="32"/>
      <c r="L72" s="33">
        <f t="shared" si="8"/>
        <v>0</v>
      </c>
    </row>
    <row r="73" spans="1:12" x14ac:dyDescent="0.25">
      <c r="A73" s="35" t="s">
        <v>91</v>
      </c>
      <c r="B73" s="30">
        <f>('Case &amp; Scenario Parameters'!$D$7*'Unit Prices'!$D$7*$B$2)+('Case &amp; Scenario Parameters'!$D$7*'Unit Prices'!$D$8*$C$2)</f>
        <v>0</v>
      </c>
      <c r="C73" s="31"/>
      <c r="D73" s="31"/>
      <c r="E73" s="31"/>
      <c r="F73" s="31"/>
      <c r="G73" s="31"/>
      <c r="H73" s="31"/>
      <c r="I73" s="31"/>
      <c r="J73" s="31"/>
      <c r="K73" s="32"/>
      <c r="L73" s="33">
        <f t="shared" si="8"/>
        <v>0</v>
      </c>
    </row>
    <row r="74" spans="1:12" x14ac:dyDescent="0.25">
      <c r="A74" s="34" t="s">
        <v>92</v>
      </c>
      <c r="B74" s="30">
        <f>('Case &amp; Scenario Parameters'!$E$7*'Unit Prices'!$D$7*$B$2)+('Case &amp; Scenario Parameters'!$E$7*'Unit Prices'!$D$8*$C$2)</f>
        <v>340000</v>
      </c>
      <c r="C74" s="31"/>
      <c r="D74" s="31"/>
      <c r="E74" s="31"/>
      <c r="F74" s="31"/>
      <c r="G74" s="31"/>
      <c r="H74" s="31"/>
      <c r="I74" s="31"/>
      <c r="J74" s="31"/>
      <c r="K74" s="32"/>
      <c r="L74" s="33">
        <f t="shared" si="8"/>
        <v>340000</v>
      </c>
    </row>
    <row r="75" spans="1:12" x14ac:dyDescent="0.25">
      <c r="A75" s="34" t="s">
        <v>93</v>
      </c>
      <c r="B75" s="30">
        <f>('Case &amp; Scenario Parameters'!$F$7*'Unit Prices'!$D$7*$B$2)+('Case &amp; Scenario Parameters'!$F$7*'Unit Prices'!$D$8*$C$2)</f>
        <v>0</v>
      </c>
      <c r="C75" s="31"/>
      <c r="D75" s="31"/>
      <c r="E75" s="31"/>
      <c r="F75" s="31"/>
      <c r="G75" s="31"/>
      <c r="H75" s="31"/>
      <c r="I75" s="31"/>
      <c r="J75" s="31"/>
      <c r="K75" s="32"/>
      <c r="L75" s="33">
        <f t="shared" si="8"/>
        <v>0</v>
      </c>
    </row>
    <row r="76" spans="1:12" x14ac:dyDescent="0.25">
      <c r="A76" s="34" t="s">
        <v>94</v>
      </c>
      <c r="B76" s="30">
        <f>SUM(B71:B75)*'Unit Prices'!$D$9</f>
        <v>684000</v>
      </c>
      <c r="C76" s="31"/>
      <c r="D76" s="31"/>
      <c r="E76" s="31"/>
      <c r="F76" s="31"/>
      <c r="G76" s="31"/>
      <c r="H76" s="31"/>
      <c r="I76" s="31"/>
      <c r="J76" s="31"/>
      <c r="K76" s="32"/>
      <c r="L76" s="33">
        <f t="shared" si="8"/>
        <v>684000</v>
      </c>
    </row>
    <row r="77" spans="1:12" x14ac:dyDescent="0.25">
      <c r="A77" s="34" t="s">
        <v>59</v>
      </c>
      <c r="B77" s="30"/>
      <c r="C77" s="31"/>
      <c r="D77" s="31"/>
      <c r="E77" s="31"/>
      <c r="F77" s="31"/>
      <c r="G77" s="31"/>
      <c r="H77" s="31"/>
      <c r="I77" s="31"/>
      <c r="J77" s="31"/>
      <c r="K77" s="32"/>
      <c r="L77" s="33"/>
    </row>
    <row r="78" spans="1:12" x14ac:dyDescent="0.25">
      <c r="A78" s="34" t="s">
        <v>89</v>
      </c>
      <c r="B78" s="30">
        <f>('Case &amp; Scenario Parameters'!$B$10*'Unit Prices'!$D$11*$B$3)+('Case &amp; Scenario Parameters'!$B$10*'Unit Prices'!$D$12*$C$3)</f>
        <v>900000</v>
      </c>
      <c r="C78" s="31"/>
      <c r="D78" s="31"/>
      <c r="E78" s="31"/>
      <c r="F78" s="31"/>
      <c r="G78" s="31"/>
      <c r="H78" s="31"/>
      <c r="I78" s="31"/>
      <c r="J78" s="31"/>
      <c r="K78" s="32"/>
      <c r="L78" s="33">
        <f t="shared" ref="L78:L83" si="9">SUM(B78:K78)</f>
        <v>900000</v>
      </c>
    </row>
    <row r="79" spans="1:12" x14ac:dyDescent="0.25">
      <c r="A79" s="34" t="s">
        <v>90</v>
      </c>
      <c r="B79" s="30">
        <f>('Case &amp; Scenario Parameters'!$C$10*'Unit Prices'!$D$11*$B$3)+('Case &amp; Scenario Parameters'!$C$10*'Unit Prices'!$D$12*$C$3)</f>
        <v>10500000</v>
      </c>
      <c r="C79" s="31"/>
      <c r="D79" s="31"/>
      <c r="E79" s="31"/>
      <c r="F79" s="31"/>
      <c r="G79" s="31"/>
      <c r="H79" s="31"/>
      <c r="I79" s="31"/>
      <c r="J79" s="31"/>
      <c r="K79" s="32"/>
      <c r="L79" s="33">
        <f t="shared" si="9"/>
        <v>10500000</v>
      </c>
    </row>
    <row r="80" spans="1:12" x14ac:dyDescent="0.25">
      <c r="A80" s="35" t="s">
        <v>91</v>
      </c>
      <c r="B80" s="30">
        <f>('Case &amp; Scenario Parameters'!$D$10*'Unit Prices'!$D$11*$B$3)+('Case &amp; Scenario Parameters'!$D$10*'Unit Prices'!$D$12*$C$3)</f>
        <v>500000</v>
      </c>
      <c r="C80" s="31"/>
      <c r="D80" s="31"/>
      <c r="E80" s="31"/>
      <c r="F80" s="31"/>
      <c r="G80" s="31"/>
      <c r="H80" s="31"/>
      <c r="I80" s="31"/>
      <c r="J80" s="31"/>
      <c r="K80" s="32"/>
      <c r="L80" s="33">
        <f t="shared" si="9"/>
        <v>500000</v>
      </c>
    </row>
    <row r="81" spans="1:12" x14ac:dyDescent="0.25">
      <c r="A81" s="34" t="s">
        <v>92</v>
      </c>
      <c r="B81" s="30">
        <f>('Case &amp; Scenario Parameters'!$E$10*'Unit Prices'!$D$11*$B$3)+('Case &amp; Scenario Parameters'!$E$10*'Unit Prices'!$D$12*$C$3)</f>
        <v>0</v>
      </c>
      <c r="C81" s="31"/>
      <c r="D81" s="31"/>
      <c r="E81" s="31"/>
      <c r="F81" s="31"/>
      <c r="G81" s="31"/>
      <c r="H81" s="31"/>
      <c r="I81" s="31"/>
      <c r="J81" s="31"/>
      <c r="K81" s="32"/>
      <c r="L81" s="33">
        <f t="shared" si="9"/>
        <v>0</v>
      </c>
    </row>
    <row r="82" spans="1:12" x14ac:dyDescent="0.25">
      <c r="A82" s="34" t="s">
        <v>93</v>
      </c>
      <c r="B82" s="30">
        <f>('Case &amp; Scenario Parameters'!$F$10*'Unit Prices'!$D$11*$B$3)+('Case &amp; Scenario Parameters'!$F$10*'Unit Prices'!$D$12*$C$3)</f>
        <v>0</v>
      </c>
      <c r="C82" s="31"/>
      <c r="D82" s="31"/>
      <c r="E82" s="31"/>
      <c r="F82" s="31"/>
      <c r="G82" s="31"/>
      <c r="H82" s="31"/>
      <c r="I82" s="31"/>
      <c r="J82" s="31"/>
      <c r="K82" s="32"/>
      <c r="L82" s="33">
        <f t="shared" si="9"/>
        <v>0</v>
      </c>
    </row>
    <row r="83" spans="1:12" x14ac:dyDescent="0.25">
      <c r="A83" s="34" t="s">
        <v>95</v>
      </c>
      <c r="B83" s="30">
        <f>SUM(B78:B82)*'Unit Prices'!$D$13</f>
        <v>1190000</v>
      </c>
      <c r="C83" s="31"/>
      <c r="D83" s="31"/>
      <c r="E83" s="31"/>
      <c r="F83" s="31"/>
      <c r="G83" s="31"/>
      <c r="H83" s="31"/>
      <c r="I83" s="31"/>
      <c r="J83" s="31"/>
      <c r="K83" s="32"/>
      <c r="L83" s="33">
        <f t="shared" si="9"/>
        <v>1190000</v>
      </c>
    </row>
    <row r="84" spans="1:12" x14ac:dyDescent="0.25">
      <c r="A84" s="34" t="s">
        <v>96</v>
      </c>
      <c r="B84" s="30"/>
      <c r="C84" s="31"/>
      <c r="D84" s="31"/>
      <c r="E84" s="31"/>
      <c r="F84" s="31"/>
      <c r="G84" s="31"/>
      <c r="H84" s="31"/>
      <c r="I84" s="31"/>
      <c r="J84" s="31"/>
      <c r="K84" s="32"/>
      <c r="L84" s="33"/>
    </row>
    <row r="85" spans="1:12" x14ac:dyDescent="0.25">
      <c r="A85" s="34" t="s">
        <v>97</v>
      </c>
      <c r="B85" s="30">
        <f>'Case &amp; Scenario Parameters'!$G$4*'Case &amp; Scenario Parameters'!$B$22*'Unit Prices'!$D$15*'Case &amp; Scenario Parameters'!$B$60</f>
        <v>157950</v>
      </c>
      <c r="C85" s="31"/>
      <c r="D85" s="31"/>
      <c r="E85" s="31"/>
      <c r="F85" s="31"/>
      <c r="G85" s="31"/>
      <c r="H85" s="31"/>
      <c r="I85" s="31"/>
      <c r="J85" s="31"/>
      <c r="K85" s="32"/>
      <c r="L85" s="33">
        <f t="shared" ref="L85:L94" si="10">SUM(B85:K85)</f>
        <v>157950</v>
      </c>
    </row>
    <row r="86" spans="1:12" x14ac:dyDescent="0.25">
      <c r="A86" s="34" t="s">
        <v>98</v>
      </c>
      <c r="B86" s="30">
        <f>'Case &amp; Scenario Parameters'!$G$4*'Case &amp; Scenario Parameters'!$B$22*'Unit Prices'!$D$16*'Case &amp; Scenario Parameters'!$B$60</f>
        <v>947700</v>
      </c>
      <c r="C86" s="31"/>
      <c r="D86" s="31"/>
      <c r="E86" s="31"/>
      <c r="F86" s="31"/>
      <c r="G86" s="31"/>
      <c r="H86" s="31"/>
      <c r="I86" s="31"/>
      <c r="J86" s="31"/>
      <c r="K86" s="32"/>
      <c r="L86" s="33">
        <f t="shared" si="10"/>
        <v>947700</v>
      </c>
    </row>
    <row r="87" spans="1:12" x14ac:dyDescent="0.25">
      <c r="A87" s="34" t="s">
        <v>99</v>
      </c>
      <c r="B87" s="30">
        <f>'Unit Prices'!$D$17</f>
        <v>250000</v>
      </c>
      <c r="C87" s="31"/>
      <c r="D87" s="31"/>
      <c r="E87" s="31"/>
      <c r="F87" s="31"/>
      <c r="G87" s="31"/>
      <c r="H87" s="31"/>
      <c r="I87" s="31"/>
      <c r="J87" s="31"/>
      <c r="K87" s="32"/>
      <c r="L87" s="33">
        <f t="shared" si="10"/>
        <v>250000</v>
      </c>
    </row>
    <row r="88" spans="1:12" x14ac:dyDescent="0.25">
      <c r="A88" s="34" t="s">
        <v>100</v>
      </c>
      <c r="B88" s="30">
        <f>($B$15+$B$16+$B$17+$B$18+$B$19+$B$22+$B$23+$B$24+$B$25+$B$26)*'Unit Prices'!$D$18</f>
        <v>2147600</v>
      </c>
      <c r="C88" s="31"/>
      <c r="D88" s="31"/>
      <c r="E88" s="31"/>
      <c r="F88" s="31"/>
      <c r="G88" s="31"/>
      <c r="H88" s="31"/>
      <c r="I88" s="31"/>
      <c r="J88" s="31"/>
      <c r="K88" s="32"/>
      <c r="L88" s="33">
        <f t="shared" si="10"/>
        <v>2147600</v>
      </c>
    </row>
    <row r="89" spans="1:12" x14ac:dyDescent="0.25">
      <c r="A89" s="34" t="s">
        <v>101</v>
      </c>
      <c r="B89" s="30">
        <f>($B$15+$B$16+$B$17+$B$18+$B$19+$B$22+$B$23+$B$24+$B$25+$B$26)*'Unit Prices'!$D$19</f>
        <v>2147600</v>
      </c>
      <c r="C89" s="31"/>
      <c r="D89" s="31"/>
      <c r="E89" s="31"/>
      <c r="F89" s="31"/>
      <c r="G89" s="31"/>
      <c r="H89" s="31"/>
      <c r="I89" s="31"/>
      <c r="J89" s="31"/>
      <c r="K89" s="32"/>
      <c r="L89" s="33">
        <f t="shared" si="10"/>
        <v>2147600</v>
      </c>
    </row>
    <row r="90" spans="1:12" x14ac:dyDescent="0.25">
      <c r="A90" s="34" t="s">
        <v>5</v>
      </c>
      <c r="B90" s="30">
        <f>'Unit Prices'!$D$20</f>
        <v>2000000</v>
      </c>
      <c r="C90" s="31"/>
      <c r="D90" s="31"/>
      <c r="E90" s="31"/>
      <c r="F90" s="31"/>
      <c r="G90" s="31"/>
      <c r="H90" s="31"/>
      <c r="I90" s="31"/>
      <c r="J90" s="31"/>
      <c r="K90" s="32"/>
      <c r="L90" s="33">
        <f t="shared" si="10"/>
        <v>2000000</v>
      </c>
    </row>
    <row r="91" spans="1:12" x14ac:dyDescent="0.25">
      <c r="A91" s="34" t="s">
        <v>102</v>
      </c>
      <c r="B91" s="30">
        <f>'Unit Prices'!$D$21</f>
        <v>55000</v>
      </c>
      <c r="C91" s="31"/>
      <c r="D91" s="31"/>
      <c r="E91" s="31"/>
      <c r="F91" s="31"/>
      <c r="G91" s="31"/>
      <c r="H91" s="31"/>
      <c r="I91" s="31"/>
      <c r="J91" s="31"/>
      <c r="K91" s="32"/>
      <c r="L91" s="33">
        <f t="shared" si="10"/>
        <v>55000</v>
      </c>
    </row>
    <row r="92" spans="1:12" x14ac:dyDescent="0.25">
      <c r="A92" s="34" t="s">
        <v>103</v>
      </c>
      <c r="B92" s="30">
        <f>'Unit Prices'!$D$22</f>
        <v>750000</v>
      </c>
      <c r="C92" s="31"/>
      <c r="D92" s="31"/>
      <c r="E92" s="31"/>
      <c r="F92" s="31"/>
      <c r="G92" s="31"/>
      <c r="H92" s="31"/>
      <c r="I92" s="31"/>
      <c r="J92" s="31"/>
      <c r="K92" s="32"/>
      <c r="L92" s="33">
        <f t="shared" si="10"/>
        <v>750000</v>
      </c>
    </row>
    <row r="93" spans="1:12" x14ac:dyDescent="0.25">
      <c r="A93" s="34" t="s">
        <v>104</v>
      </c>
      <c r="B93" s="30">
        <f>'Unit Prices'!$D$23</f>
        <v>400000</v>
      </c>
      <c r="C93" s="31"/>
      <c r="D93" s="31"/>
      <c r="E93" s="31"/>
      <c r="F93" s="31"/>
      <c r="G93" s="31"/>
      <c r="H93" s="31"/>
      <c r="I93" s="31"/>
      <c r="J93" s="31"/>
      <c r="K93" s="32"/>
      <c r="L93" s="33">
        <f t="shared" si="10"/>
        <v>400000</v>
      </c>
    </row>
    <row r="94" spans="1:12" x14ac:dyDescent="0.25">
      <c r="A94" s="51" t="s">
        <v>108</v>
      </c>
      <c r="B94" s="73">
        <f>SUM(B71:B93)*'Unit Prices'!$D$25</f>
        <v>4420477.5</v>
      </c>
      <c r="C94" s="31"/>
      <c r="D94" s="31"/>
      <c r="E94" s="31"/>
      <c r="F94" s="31"/>
      <c r="G94" s="31"/>
      <c r="H94" s="31"/>
      <c r="I94" s="31"/>
      <c r="J94" s="31"/>
      <c r="K94" s="32"/>
      <c r="L94" s="33">
        <f t="shared" si="10"/>
        <v>4420477.5</v>
      </c>
    </row>
    <row r="95" spans="1:12" x14ac:dyDescent="0.25">
      <c r="A95" s="24" t="s">
        <v>105</v>
      </c>
      <c r="B95" s="25"/>
      <c r="C95" s="26"/>
      <c r="D95" s="26"/>
      <c r="E95" s="26"/>
      <c r="F95" s="26"/>
      <c r="G95" s="26"/>
      <c r="H95" s="26"/>
      <c r="I95" s="26"/>
      <c r="J95" s="26"/>
      <c r="K95" s="27"/>
      <c r="L95" s="28"/>
    </row>
    <row r="96" spans="1:12" x14ac:dyDescent="0.25">
      <c r="A96" s="34" t="s">
        <v>106</v>
      </c>
      <c r="B96" s="30"/>
      <c r="C96" s="31">
        <f>($B$15+$B$16+$B$17+$B$18+$B$19+$B$22+$B$23+$B$24+$B$25+$B$26)*'Unit Prices'!$D$28</f>
        <v>644280</v>
      </c>
      <c r="D96" s="31">
        <f t="shared" ref="D96:K96" si="11">C96</f>
        <v>644280</v>
      </c>
      <c r="E96" s="31">
        <f t="shared" si="11"/>
        <v>644280</v>
      </c>
      <c r="F96" s="31">
        <f t="shared" si="11"/>
        <v>644280</v>
      </c>
      <c r="G96" s="31">
        <f t="shared" si="11"/>
        <v>644280</v>
      </c>
      <c r="H96" s="31">
        <f t="shared" si="11"/>
        <v>644280</v>
      </c>
      <c r="I96" s="31">
        <f t="shared" si="11"/>
        <v>644280</v>
      </c>
      <c r="J96" s="31">
        <f t="shared" si="11"/>
        <v>644280</v>
      </c>
      <c r="K96" s="31">
        <f t="shared" si="11"/>
        <v>644280</v>
      </c>
      <c r="L96" s="33">
        <f t="shared" ref="L96:L117" si="12">SUM(B96:K96)</f>
        <v>5798520</v>
      </c>
    </row>
    <row r="97" spans="1:12" x14ac:dyDescent="0.25">
      <c r="A97" s="51" t="s">
        <v>152</v>
      </c>
      <c r="B97" s="30"/>
      <c r="C97" s="31"/>
      <c r="D97" s="31">
        <f t="shared" ref="D97:K112" si="13">C97</f>
        <v>0</v>
      </c>
      <c r="E97" s="31">
        <f t="shared" si="13"/>
        <v>0</v>
      </c>
      <c r="F97" s="31">
        <f t="shared" si="13"/>
        <v>0</v>
      </c>
      <c r="G97" s="31">
        <f t="shared" si="13"/>
        <v>0</v>
      </c>
      <c r="H97" s="31">
        <f t="shared" si="13"/>
        <v>0</v>
      </c>
      <c r="I97" s="31">
        <f t="shared" si="13"/>
        <v>0</v>
      </c>
      <c r="J97" s="31">
        <f t="shared" si="13"/>
        <v>0</v>
      </c>
      <c r="K97" s="31">
        <f t="shared" si="13"/>
        <v>0</v>
      </c>
      <c r="L97" s="33">
        <f t="shared" si="12"/>
        <v>0</v>
      </c>
    </row>
    <row r="98" spans="1:12" x14ac:dyDescent="0.25">
      <c r="A98" s="34" t="s">
        <v>89</v>
      </c>
      <c r="B98" s="30"/>
      <c r="C98" s="31">
        <f>B71*'Case &amp; Scenario Parameters'!$B$59</f>
        <v>325000</v>
      </c>
      <c r="D98" s="31">
        <f t="shared" si="13"/>
        <v>325000</v>
      </c>
      <c r="E98" s="31">
        <f t="shared" si="13"/>
        <v>325000</v>
      </c>
      <c r="F98" s="31">
        <f t="shared" si="13"/>
        <v>325000</v>
      </c>
      <c r="G98" s="31">
        <f t="shared" si="13"/>
        <v>325000</v>
      </c>
      <c r="H98" s="31">
        <f t="shared" si="13"/>
        <v>325000</v>
      </c>
      <c r="I98" s="31">
        <f t="shared" si="13"/>
        <v>325000</v>
      </c>
      <c r="J98" s="31">
        <f t="shared" si="13"/>
        <v>325000</v>
      </c>
      <c r="K98" s="31">
        <f t="shared" si="13"/>
        <v>325000</v>
      </c>
      <c r="L98" s="33">
        <f t="shared" si="12"/>
        <v>2925000</v>
      </c>
    </row>
    <row r="99" spans="1:12" x14ac:dyDescent="0.25">
      <c r="A99" s="34" t="s">
        <v>90</v>
      </c>
      <c r="B99" s="30"/>
      <c r="C99" s="31">
        <f>B72*'Case &amp; Scenario Parameters'!$B$59</f>
        <v>0</v>
      </c>
      <c r="D99" s="31">
        <f t="shared" si="13"/>
        <v>0</v>
      </c>
      <c r="E99" s="31">
        <f t="shared" si="13"/>
        <v>0</v>
      </c>
      <c r="F99" s="31">
        <f t="shared" si="13"/>
        <v>0</v>
      </c>
      <c r="G99" s="31">
        <f t="shared" si="13"/>
        <v>0</v>
      </c>
      <c r="H99" s="31">
        <f t="shared" si="13"/>
        <v>0</v>
      </c>
      <c r="I99" s="31">
        <f t="shared" si="13"/>
        <v>0</v>
      </c>
      <c r="J99" s="31">
        <f t="shared" si="13"/>
        <v>0</v>
      </c>
      <c r="K99" s="31">
        <f t="shared" si="13"/>
        <v>0</v>
      </c>
      <c r="L99" s="33">
        <f t="shared" si="12"/>
        <v>0</v>
      </c>
    </row>
    <row r="100" spans="1:12" x14ac:dyDescent="0.25">
      <c r="A100" s="35" t="s">
        <v>91</v>
      </c>
      <c r="B100" s="30"/>
      <c r="C100" s="31">
        <f>B73*'Case &amp; Scenario Parameters'!$B$59</f>
        <v>0</v>
      </c>
      <c r="D100" s="31">
        <f t="shared" si="13"/>
        <v>0</v>
      </c>
      <c r="E100" s="31">
        <f t="shared" si="13"/>
        <v>0</v>
      </c>
      <c r="F100" s="31">
        <f t="shared" si="13"/>
        <v>0</v>
      </c>
      <c r="G100" s="31">
        <f t="shared" si="13"/>
        <v>0</v>
      </c>
      <c r="H100" s="31">
        <f t="shared" si="13"/>
        <v>0</v>
      </c>
      <c r="I100" s="31">
        <f t="shared" si="13"/>
        <v>0</v>
      </c>
      <c r="J100" s="31">
        <f t="shared" si="13"/>
        <v>0</v>
      </c>
      <c r="K100" s="31">
        <f t="shared" si="13"/>
        <v>0</v>
      </c>
      <c r="L100" s="33">
        <f t="shared" si="12"/>
        <v>0</v>
      </c>
    </row>
    <row r="101" spans="1:12" x14ac:dyDescent="0.25">
      <c r="A101" s="34" t="s">
        <v>92</v>
      </c>
      <c r="B101" s="30"/>
      <c r="C101" s="31">
        <f>B74*'Case &amp; Scenario Parameters'!$B$59</f>
        <v>17000</v>
      </c>
      <c r="D101" s="31">
        <f t="shared" si="13"/>
        <v>17000</v>
      </c>
      <c r="E101" s="31">
        <f t="shared" si="13"/>
        <v>17000</v>
      </c>
      <c r="F101" s="31">
        <f t="shared" si="13"/>
        <v>17000</v>
      </c>
      <c r="G101" s="31">
        <f t="shared" si="13"/>
        <v>17000</v>
      </c>
      <c r="H101" s="31">
        <f t="shared" si="13"/>
        <v>17000</v>
      </c>
      <c r="I101" s="31">
        <f t="shared" si="13"/>
        <v>17000</v>
      </c>
      <c r="J101" s="31">
        <f t="shared" si="13"/>
        <v>17000</v>
      </c>
      <c r="K101" s="31">
        <f t="shared" si="13"/>
        <v>17000</v>
      </c>
      <c r="L101" s="33">
        <f t="shared" si="12"/>
        <v>153000</v>
      </c>
    </row>
    <row r="102" spans="1:12" x14ac:dyDescent="0.25">
      <c r="A102" s="34" t="s">
        <v>93</v>
      </c>
      <c r="B102" s="30"/>
      <c r="C102" s="31">
        <f>B75*'Case &amp; Scenario Parameters'!$B$59</f>
        <v>0</v>
      </c>
      <c r="D102" s="31">
        <f t="shared" si="13"/>
        <v>0</v>
      </c>
      <c r="E102" s="31">
        <f t="shared" si="13"/>
        <v>0</v>
      </c>
      <c r="F102" s="31">
        <f t="shared" si="13"/>
        <v>0</v>
      </c>
      <c r="G102" s="31">
        <f t="shared" si="13"/>
        <v>0</v>
      </c>
      <c r="H102" s="31">
        <f t="shared" si="13"/>
        <v>0</v>
      </c>
      <c r="I102" s="31">
        <f t="shared" si="13"/>
        <v>0</v>
      </c>
      <c r="J102" s="31">
        <f t="shared" si="13"/>
        <v>0</v>
      </c>
      <c r="K102" s="31">
        <f t="shared" si="13"/>
        <v>0</v>
      </c>
      <c r="L102" s="33">
        <f t="shared" si="12"/>
        <v>0</v>
      </c>
    </row>
    <row r="103" spans="1:12" x14ac:dyDescent="0.25">
      <c r="A103" s="34" t="s">
        <v>94</v>
      </c>
      <c r="B103" s="30"/>
      <c r="C103" s="31">
        <f>SUM(C98:C102)*'Unit Prices'!$D$9</f>
        <v>34200</v>
      </c>
      <c r="D103" s="31">
        <f t="shared" si="13"/>
        <v>34200</v>
      </c>
      <c r="E103" s="31">
        <f t="shared" si="13"/>
        <v>34200</v>
      </c>
      <c r="F103" s="31">
        <f t="shared" si="13"/>
        <v>34200</v>
      </c>
      <c r="G103" s="31">
        <f t="shared" si="13"/>
        <v>34200</v>
      </c>
      <c r="H103" s="31">
        <f t="shared" si="13"/>
        <v>34200</v>
      </c>
      <c r="I103" s="31">
        <f t="shared" si="13"/>
        <v>34200</v>
      </c>
      <c r="J103" s="31">
        <f t="shared" si="13"/>
        <v>34200</v>
      </c>
      <c r="K103" s="31">
        <f t="shared" si="13"/>
        <v>34200</v>
      </c>
      <c r="L103" s="33">
        <f t="shared" si="12"/>
        <v>307800</v>
      </c>
    </row>
    <row r="104" spans="1:12" x14ac:dyDescent="0.25">
      <c r="A104" s="51" t="s">
        <v>154</v>
      </c>
      <c r="B104" s="30"/>
      <c r="C104" s="31"/>
      <c r="D104" s="31">
        <f t="shared" si="13"/>
        <v>0</v>
      </c>
      <c r="E104" s="31">
        <f t="shared" si="13"/>
        <v>0</v>
      </c>
      <c r="F104" s="31">
        <f t="shared" si="13"/>
        <v>0</v>
      </c>
      <c r="G104" s="31">
        <f t="shared" si="13"/>
        <v>0</v>
      </c>
      <c r="H104" s="31">
        <f t="shared" si="13"/>
        <v>0</v>
      </c>
      <c r="I104" s="31">
        <f t="shared" si="13"/>
        <v>0</v>
      </c>
      <c r="J104" s="31">
        <f t="shared" si="13"/>
        <v>0</v>
      </c>
      <c r="K104" s="31">
        <f t="shared" si="13"/>
        <v>0</v>
      </c>
      <c r="L104" s="33">
        <f t="shared" si="12"/>
        <v>0</v>
      </c>
    </row>
    <row r="105" spans="1:12" x14ac:dyDescent="0.25">
      <c r="A105" s="34" t="s">
        <v>89</v>
      </c>
      <c r="B105" s="30"/>
      <c r="C105" s="31">
        <f>B78*'Case &amp; Scenario Parameters'!$B$59</f>
        <v>45000</v>
      </c>
      <c r="D105" s="31">
        <f t="shared" si="13"/>
        <v>45000</v>
      </c>
      <c r="E105" s="31">
        <f t="shared" si="13"/>
        <v>45000</v>
      </c>
      <c r="F105" s="31">
        <f t="shared" si="13"/>
        <v>45000</v>
      </c>
      <c r="G105" s="31">
        <f t="shared" si="13"/>
        <v>45000</v>
      </c>
      <c r="H105" s="31">
        <f t="shared" si="13"/>
        <v>45000</v>
      </c>
      <c r="I105" s="31">
        <f t="shared" si="13"/>
        <v>45000</v>
      </c>
      <c r="J105" s="31">
        <f t="shared" si="13"/>
        <v>45000</v>
      </c>
      <c r="K105" s="31">
        <f t="shared" si="13"/>
        <v>45000</v>
      </c>
      <c r="L105" s="33">
        <f t="shared" si="12"/>
        <v>405000</v>
      </c>
    </row>
    <row r="106" spans="1:12" x14ac:dyDescent="0.25">
      <c r="A106" s="34" t="s">
        <v>90</v>
      </c>
      <c r="B106" s="30"/>
      <c r="C106" s="31">
        <f>B79*'Case &amp; Scenario Parameters'!$B$59</f>
        <v>525000</v>
      </c>
      <c r="D106" s="31">
        <f t="shared" si="13"/>
        <v>525000</v>
      </c>
      <c r="E106" s="31">
        <f t="shared" si="13"/>
        <v>525000</v>
      </c>
      <c r="F106" s="31">
        <f t="shared" si="13"/>
        <v>525000</v>
      </c>
      <c r="G106" s="31">
        <f t="shared" si="13"/>
        <v>525000</v>
      </c>
      <c r="H106" s="31">
        <f t="shared" si="13"/>
        <v>525000</v>
      </c>
      <c r="I106" s="31">
        <f t="shared" si="13"/>
        <v>525000</v>
      </c>
      <c r="J106" s="31">
        <f t="shared" si="13"/>
        <v>525000</v>
      </c>
      <c r="K106" s="31">
        <f t="shared" si="13"/>
        <v>525000</v>
      </c>
      <c r="L106" s="33">
        <f t="shared" si="12"/>
        <v>4725000</v>
      </c>
    </row>
    <row r="107" spans="1:12" x14ac:dyDescent="0.25">
      <c r="A107" s="35" t="s">
        <v>91</v>
      </c>
      <c r="B107" s="30"/>
      <c r="C107" s="31">
        <f>B80*'Case &amp; Scenario Parameters'!$B$59</f>
        <v>25000</v>
      </c>
      <c r="D107" s="31">
        <f t="shared" si="13"/>
        <v>25000</v>
      </c>
      <c r="E107" s="31">
        <f t="shared" si="13"/>
        <v>25000</v>
      </c>
      <c r="F107" s="31">
        <f t="shared" si="13"/>
        <v>25000</v>
      </c>
      <c r="G107" s="31">
        <f t="shared" si="13"/>
        <v>25000</v>
      </c>
      <c r="H107" s="31">
        <f t="shared" si="13"/>
        <v>25000</v>
      </c>
      <c r="I107" s="31">
        <f t="shared" si="13"/>
        <v>25000</v>
      </c>
      <c r="J107" s="31">
        <f t="shared" si="13"/>
        <v>25000</v>
      </c>
      <c r="K107" s="31">
        <f t="shared" si="13"/>
        <v>25000</v>
      </c>
      <c r="L107" s="33">
        <f t="shared" si="12"/>
        <v>225000</v>
      </c>
    </row>
    <row r="108" spans="1:12" x14ac:dyDescent="0.25">
      <c r="A108" s="34" t="s">
        <v>92</v>
      </c>
      <c r="B108" s="30"/>
      <c r="C108" s="31">
        <f>B81*'Case &amp; Scenario Parameters'!$B$59</f>
        <v>0</v>
      </c>
      <c r="D108" s="31">
        <f t="shared" si="13"/>
        <v>0</v>
      </c>
      <c r="E108" s="31">
        <f t="shared" si="13"/>
        <v>0</v>
      </c>
      <c r="F108" s="31">
        <f t="shared" si="13"/>
        <v>0</v>
      </c>
      <c r="G108" s="31">
        <f t="shared" si="13"/>
        <v>0</v>
      </c>
      <c r="H108" s="31">
        <f t="shared" si="13"/>
        <v>0</v>
      </c>
      <c r="I108" s="31">
        <f t="shared" si="13"/>
        <v>0</v>
      </c>
      <c r="J108" s="31">
        <f t="shared" si="13"/>
        <v>0</v>
      </c>
      <c r="K108" s="31">
        <f t="shared" si="13"/>
        <v>0</v>
      </c>
      <c r="L108" s="33">
        <f t="shared" si="12"/>
        <v>0</v>
      </c>
    </row>
    <row r="109" spans="1:12" x14ac:dyDescent="0.25">
      <c r="A109" s="34" t="s">
        <v>93</v>
      </c>
      <c r="B109" s="30"/>
      <c r="C109" s="31">
        <f>B82*'Case &amp; Scenario Parameters'!$B$59</f>
        <v>0</v>
      </c>
      <c r="D109" s="31">
        <f t="shared" si="13"/>
        <v>0</v>
      </c>
      <c r="E109" s="31">
        <f t="shared" si="13"/>
        <v>0</v>
      </c>
      <c r="F109" s="31">
        <f t="shared" si="13"/>
        <v>0</v>
      </c>
      <c r="G109" s="31">
        <f t="shared" si="13"/>
        <v>0</v>
      </c>
      <c r="H109" s="31">
        <f t="shared" si="13"/>
        <v>0</v>
      </c>
      <c r="I109" s="31">
        <f t="shared" si="13"/>
        <v>0</v>
      </c>
      <c r="J109" s="31">
        <f t="shared" si="13"/>
        <v>0</v>
      </c>
      <c r="K109" s="31">
        <f t="shared" si="13"/>
        <v>0</v>
      </c>
      <c r="L109" s="33">
        <f t="shared" si="12"/>
        <v>0</v>
      </c>
    </row>
    <row r="110" spans="1:12" x14ac:dyDescent="0.25">
      <c r="A110" s="34" t="s">
        <v>95</v>
      </c>
      <c r="B110" s="30"/>
      <c r="C110" s="31">
        <f>SUM(C105:C109)*'Unit Prices'!$D$13</f>
        <v>59500</v>
      </c>
      <c r="D110" s="31">
        <f t="shared" si="13"/>
        <v>59500</v>
      </c>
      <c r="E110" s="31">
        <f t="shared" si="13"/>
        <v>59500</v>
      </c>
      <c r="F110" s="31">
        <f t="shared" si="13"/>
        <v>59500</v>
      </c>
      <c r="G110" s="31">
        <f t="shared" si="13"/>
        <v>59500</v>
      </c>
      <c r="H110" s="31">
        <f t="shared" si="13"/>
        <v>59500</v>
      </c>
      <c r="I110" s="31">
        <f t="shared" si="13"/>
        <v>59500</v>
      </c>
      <c r="J110" s="31">
        <f t="shared" si="13"/>
        <v>59500</v>
      </c>
      <c r="K110" s="31">
        <f t="shared" si="13"/>
        <v>59500</v>
      </c>
      <c r="L110" s="33">
        <f t="shared" si="12"/>
        <v>535500</v>
      </c>
    </row>
    <row r="111" spans="1:12" x14ac:dyDescent="0.25">
      <c r="A111" s="51" t="s">
        <v>154</v>
      </c>
      <c r="B111" s="30"/>
      <c r="C111" s="31"/>
      <c r="D111" s="31">
        <f t="shared" si="13"/>
        <v>0</v>
      </c>
      <c r="E111" s="31">
        <f t="shared" si="13"/>
        <v>0</v>
      </c>
      <c r="F111" s="31">
        <f t="shared" si="13"/>
        <v>0</v>
      </c>
      <c r="G111" s="31">
        <f t="shared" si="13"/>
        <v>0</v>
      </c>
      <c r="H111" s="31">
        <f t="shared" si="13"/>
        <v>0</v>
      </c>
      <c r="I111" s="31">
        <f t="shared" si="13"/>
        <v>0</v>
      </c>
      <c r="J111" s="31">
        <f t="shared" si="13"/>
        <v>0</v>
      </c>
      <c r="K111" s="31">
        <f t="shared" si="13"/>
        <v>0</v>
      </c>
      <c r="L111" s="33">
        <f t="shared" si="12"/>
        <v>0</v>
      </c>
    </row>
    <row r="112" spans="1:12" x14ac:dyDescent="0.25">
      <c r="A112" s="34" t="s">
        <v>97</v>
      </c>
      <c r="B112" s="30"/>
      <c r="C112" s="31">
        <f>B85*'Case &amp; Scenario Parameters'!$B$61</f>
        <v>15795</v>
      </c>
      <c r="D112" s="31">
        <f t="shared" si="13"/>
        <v>15795</v>
      </c>
      <c r="E112" s="31">
        <f t="shared" si="13"/>
        <v>15795</v>
      </c>
      <c r="F112" s="31">
        <f t="shared" si="13"/>
        <v>15795</v>
      </c>
      <c r="G112" s="31">
        <f t="shared" si="13"/>
        <v>15795</v>
      </c>
      <c r="H112" s="31">
        <f t="shared" si="13"/>
        <v>15795</v>
      </c>
      <c r="I112" s="31">
        <f t="shared" si="13"/>
        <v>15795</v>
      </c>
      <c r="J112" s="31">
        <f t="shared" si="13"/>
        <v>15795</v>
      </c>
      <c r="K112" s="31">
        <f t="shared" si="13"/>
        <v>15795</v>
      </c>
      <c r="L112" s="33">
        <f t="shared" si="12"/>
        <v>142155</v>
      </c>
    </row>
    <row r="113" spans="1:12" x14ac:dyDescent="0.25">
      <c r="A113" s="34" t="s">
        <v>98</v>
      </c>
      <c r="B113" s="30"/>
      <c r="C113" s="31">
        <f>B86*'Case &amp; Scenario Parameters'!$B$61</f>
        <v>94770</v>
      </c>
      <c r="D113" s="31">
        <f t="shared" ref="D113:K116" si="14">C113</f>
        <v>94770</v>
      </c>
      <c r="E113" s="31">
        <f t="shared" si="14"/>
        <v>94770</v>
      </c>
      <c r="F113" s="31">
        <f t="shared" si="14"/>
        <v>94770</v>
      </c>
      <c r="G113" s="31">
        <f t="shared" si="14"/>
        <v>94770</v>
      </c>
      <c r="H113" s="31">
        <f t="shared" si="14"/>
        <v>94770</v>
      </c>
      <c r="I113" s="31">
        <f t="shared" si="14"/>
        <v>94770</v>
      </c>
      <c r="J113" s="31">
        <f t="shared" si="14"/>
        <v>94770</v>
      </c>
      <c r="K113" s="31">
        <f t="shared" si="14"/>
        <v>94770</v>
      </c>
      <c r="L113" s="33">
        <f t="shared" si="12"/>
        <v>852930</v>
      </c>
    </row>
    <row r="114" spans="1:12" x14ac:dyDescent="0.25">
      <c r="A114" s="34" t="s">
        <v>108</v>
      </c>
      <c r="B114" s="30"/>
      <c r="C114" s="31">
        <f>SUM(C96:C113)*'Unit Prices'!$D$37</f>
        <v>267831.75</v>
      </c>
      <c r="D114" s="31">
        <f t="shared" si="14"/>
        <v>267831.75</v>
      </c>
      <c r="E114" s="31">
        <f t="shared" si="14"/>
        <v>267831.75</v>
      </c>
      <c r="F114" s="31">
        <f t="shared" si="14"/>
        <v>267831.75</v>
      </c>
      <c r="G114" s="31">
        <f t="shared" si="14"/>
        <v>267831.75</v>
      </c>
      <c r="H114" s="31">
        <f t="shared" si="14"/>
        <v>267831.75</v>
      </c>
      <c r="I114" s="31">
        <f t="shared" si="14"/>
        <v>267831.75</v>
      </c>
      <c r="J114" s="31">
        <f t="shared" si="14"/>
        <v>267831.75</v>
      </c>
      <c r="K114" s="31">
        <f t="shared" si="14"/>
        <v>267831.75</v>
      </c>
      <c r="L114" s="33">
        <f t="shared" si="12"/>
        <v>2410485.75</v>
      </c>
    </row>
    <row r="115" spans="1:12" x14ac:dyDescent="0.25">
      <c r="A115" s="51" t="s">
        <v>135</v>
      </c>
      <c r="B115" s="36">
        <f>B$119*$B$5*'Unit Prices'!$D$38</f>
        <v>387328.5</v>
      </c>
      <c r="C115" s="36">
        <f>B115</f>
        <v>387328.5</v>
      </c>
      <c r="D115" s="36">
        <f t="shared" si="14"/>
        <v>387328.5</v>
      </c>
      <c r="E115" s="36">
        <f t="shared" si="14"/>
        <v>387328.5</v>
      </c>
      <c r="F115" s="36">
        <f t="shared" si="14"/>
        <v>387328.5</v>
      </c>
      <c r="G115" s="36">
        <f t="shared" si="14"/>
        <v>387328.5</v>
      </c>
      <c r="H115" s="36">
        <f t="shared" si="14"/>
        <v>387328.5</v>
      </c>
      <c r="I115" s="36">
        <f t="shared" si="14"/>
        <v>387328.5</v>
      </c>
      <c r="J115" s="36">
        <f t="shared" si="14"/>
        <v>387328.5</v>
      </c>
      <c r="K115" s="36">
        <f t="shared" si="14"/>
        <v>387328.5</v>
      </c>
      <c r="L115" s="33">
        <f t="shared" si="12"/>
        <v>3873285</v>
      </c>
    </row>
    <row r="116" spans="1:12" x14ac:dyDescent="0.25">
      <c r="A116" s="51" t="s">
        <v>136</v>
      </c>
      <c r="B116" s="30">
        <f>B$119*'Unit Prices'!$D$39*$B$6</f>
        <v>0</v>
      </c>
      <c r="C116" s="73">
        <f>B116</f>
        <v>0</v>
      </c>
      <c r="D116" s="73">
        <f t="shared" si="14"/>
        <v>0</v>
      </c>
      <c r="E116" s="73">
        <f t="shared" si="14"/>
        <v>0</v>
      </c>
      <c r="F116" s="73">
        <f t="shared" si="14"/>
        <v>0</v>
      </c>
      <c r="G116" s="73">
        <f t="shared" si="14"/>
        <v>0</v>
      </c>
      <c r="H116" s="73">
        <f t="shared" si="14"/>
        <v>0</v>
      </c>
      <c r="I116" s="73">
        <f t="shared" si="14"/>
        <v>0</v>
      </c>
      <c r="J116" s="73">
        <f t="shared" si="14"/>
        <v>0</v>
      </c>
      <c r="K116" s="73">
        <f t="shared" si="14"/>
        <v>0</v>
      </c>
      <c r="L116" s="33">
        <f t="shared" si="12"/>
        <v>0</v>
      </c>
    </row>
    <row r="117" spans="1:12" x14ac:dyDescent="0.25">
      <c r="A117" s="37" t="s">
        <v>114</v>
      </c>
      <c r="B117" s="38">
        <f t="shared" ref="B117:K117" si="15">SUM(B71:B114)+B115+B116</f>
        <v>34277656</v>
      </c>
      <c r="C117" s="38">
        <f t="shared" si="15"/>
        <v>2440705.25</v>
      </c>
      <c r="D117" s="38">
        <f t="shared" si="15"/>
        <v>2440705.25</v>
      </c>
      <c r="E117" s="38">
        <f t="shared" si="15"/>
        <v>2440705.25</v>
      </c>
      <c r="F117" s="38">
        <f t="shared" si="15"/>
        <v>2440705.25</v>
      </c>
      <c r="G117" s="38">
        <f t="shared" si="15"/>
        <v>2440705.25</v>
      </c>
      <c r="H117" s="38">
        <f t="shared" si="15"/>
        <v>2440705.25</v>
      </c>
      <c r="I117" s="38">
        <f t="shared" si="15"/>
        <v>2440705.25</v>
      </c>
      <c r="J117" s="38">
        <f t="shared" si="15"/>
        <v>2440705.25</v>
      </c>
      <c r="K117" s="38">
        <f t="shared" si="15"/>
        <v>2440705.25</v>
      </c>
      <c r="L117" s="38">
        <f t="shared" si="12"/>
        <v>56244003.25</v>
      </c>
    </row>
    <row r="118" spans="1:12" x14ac:dyDescent="0.25">
      <c r="A118" s="24" t="s">
        <v>117</v>
      </c>
      <c r="B118" s="25"/>
      <c r="C118" s="26"/>
      <c r="D118" s="26"/>
      <c r="E118" s="26"/>
      <c r="F118" s="26"/>
      <c r="G118" s="26"/>
      <c r="H118" s="26"/>
      <c r="I118" s="26"/>
      <c r="J118" s="26"/>
      <c r="K118" s="27"/>
      <c r="L118" s="28"/>
    </row>
    <row r="119" spans="1:12" x14ac:dyDescent="0.25">
      <c r="A119" s="37" t="s">
        <v>115</v>
      </c>
      <c r="B119" s="38">
        <f>'Case &amp; Scenario Parameters'!$G$11*$B$4</f>
        <v>107591250</v>
      </c>
      <c r="C119" s="38">
        <f>'Case &amp; Scenario Parameters'!$G$11*$B$4</f>
        <v>107591250</v>
      </c>
      <c r="D119" s="38">
        <f>'Case &amp; Scenario Parameters'!$G$11*$B$4</f>
        <v>107591250</v>
      </c>
      <c r="E119" s="38">
        <f>'Case &amp; Scenario Parameters'!$G$11*$B$4</f>
        <v>107591250</v>
      </c>
      <c r="F119" s="38">
        <f>'Case &amp; Scenario Parameters'!$G$11*$B$4</f>
        <v>107591250</v>
      </c>
      <c r="G119" s="38">
        <f>'Case &amp; Scenario Parameters'!$G$11*$B$4</f>
        <v>107591250</v>
      </c>
      <c r="H119" s="38">
        <f>'Case &amp; Scenario Parameters'!$G$11*$B$4</f>
        <v>107591250</v>
      </c>
      <c r="I119" s="38">
        <f>'Case &amp; Scenario Parameters'!$G$11*$B$4</f>
        <v>107591250</v>
      </c>
      <c r="J119" s="38">
        <f>'Case &amp; Scenario Parameters'!$G$11*$B$4</f>
        <v>107591250</v>
      </c>
      <c r="K119" s="38">
        <f>'Case &amp; Scenario Parameters'!$G$11*$B$4</f>
        <v>107591250</v>
      </c>
      <c r="L119" s="41">
        <f>SUM(B119:K119)</f>
        <v>1075912500</v>
      </c>
    </row>
    <row r="120" spans="1:12" ht="14.25" x14ac:dyDescent="0.2"/>
    <row r="121" spans="1:12" ht="14.25" x14ac:dyDescent="0.2"/>
    <row r="122" spans="1:12" ht="14.25" x14ac:dyDescent="0.2"/>
    <row r="123" spans="1:12" ht="14.25" x14ac:dyDescent="0.2"/>
    <row r="124" spans="1:12" ht="14.25" x14ac:dyDescent="0.2"/>
    <row r="125" spans="1:12" ht="14.25" x14ac:dyDescent="0.2"/>
    <row r="126" spans="1:12" ht="14.25" x14ac:dyDescent="0.2"/>
    <row r="127" spans="1:12" ht="14.25" x14ac:dyDescent="0.2"/>
  </sheetData>
  <sheetProtection algorithmName="SHA-512" hashValue="9t0w82Nhbl/sRqYsynbVbcCpqeSLcJV1E4Ba0CHGEoi2aPRFEITlQIjUYO2l5ssif3gjdKyRHVqcWMeUogMnKg==" saltValue="0PipcdybDL44LcdVG6kVRg==" spinCount="100000" sheet="1" objects="1" scenarios="1"/>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27"/>
  <sheetViews>
    <sheetView workbookViewId="0">
      <selection activeCell="E32" sqref="E32"/>
    </sheetView>
  </sheetViews>
  <sheetFormatPr defaultColWidth="12.625" defaultRowHeight="15" customHeight="1" x14ac:dyDescent="0.2"/>
  <cols>
    <col min="1" max="1" width="60.375" customWidth="1"/>
  </cols>
  <sheetData>
    <row r="1" spans="1:12" x14ac:dyDescent="0.25">
      <c r="A1" s="11" t="str">
        <f>'Case &amp; Scenario Parameters'!A40</f>
        <v>Scenario 3</v>
      </c>
      <c r="B1" s="11" t="str">
        <f>'Case &amp; Scenario Parameters'!B40</f>
        <v>Full service</v>
      </c>
      <c r="C1" s="11" t="str">
        <f>'Case &amp; Scenario Parameters'!C40</f>
        <v>No cash</v>
      </c>
    </row>
    <row r="2" spans="1:12" x14ac:dyDescent="0.25">
      <c r="A2" s="11" t="str">
        <f>'Case &amp; Scenario Parameters'!A41</f>
        <v>Fareboxes</v>
      </c>
      <c r="B2" s="72">
        <f>'Case &amp; Scenario Parameters'!B41</f>
        <v>0</v>
      </c>
      <c r="C2" s="72">
        <f>'Case &amp; Scenario Parameters'!C41</f>
        <v>1</v>
      </c>
    </row>
    <row r="3" spans="1:12" x14ac:dyDescent="0.25">
      <c r="A3" s="11" t="str">
        <f>'Case &amp; Scenario Parameters'!A42</f>
        <v>Ticket Vending Machines</v>
      </c>
      <c r="B3" s="72">
        <f>'Case &amp; Scenario Parameters'!B42</f>
        <v>1</v>
      </c>
      <c r="C3" s="72">
        <f>'Case &amp; Scenario Parameters'!C42</f>
        <v>0</v>
      </c>
    </row>
    <row r="4" spans="1:12" x14ac:dyDescent="0.25">
      <c r="A4" s="11" t="str">
        <f>'Case &amp; Scenario Parameters'!A43</f>
        <v>Share of existing riders able to use system```</v>
      </c>
      <c r="B4" s="72">
        <f>'Case &amp; Scenario Parameters'!B43</f>
        <v>0.95</v>
      </c>
      <c r="C4" s="72"/>
    </row>
    <row r="5" spans="1:12" ht="15" customHeight="1" x14ac:dyDescent="0.25">
      <c r="A5" s="11" t="str">
        <f>'Case &amp; Scenario Parameters'!A44</f>
        <v>Percentage of Revene as Cash Handled by Agency</v>
      </c>
      <c r="B5" s="72">
        <f>'Case &amp; Scenario Parameters'!B44</f>
        <v>0.06</v>
      </c>
      <c r="C5" s="72"/>
    </row>
    <row r="6" spans="1:12" ht="15" customHeight="1" x14ac:dyDescent="0.25">
      <c r="A6" s="11" t="str">
        <f>'Case &amp; Scenario Parameters'!A45</f>
        <v>Percentage of Revene as Retail</v>
      </c>
      <c r="B6" s="72">
        <f>'Case &amp; Scenario Parameters'!B45</f>
        <v>0</v>
      </c>
      <c r="C6" s="72"/>
    </row>
    <row r="7" spans="1:12" ht="15" customHeight="1" x14ac:dyDescent="0.25">
      <c r="A7" s="9"/>
      <c r="B7" s="9"/>
      <c r="C7" s="9"/>
    </row>
    <row r="8" spans="1:12" x14ac:dyDescent="0.25">
      <c r="A8" s="9" t="s">
        <v>109</v>
      </c>
    </row>
    <row r="9" spans="1:12" x14ac:dyDescent="0.25">
      <c r="A9" s="9"/>
    </row>
    <row r="10" spans="1:12" ht="15.75" thickBot="1" x14ac:dyDescent="0.3">
      <c r="A10" s="71" t="s">
        <v>145</v>
      </c>
      <c r="C10" s="18"/>
      <c r="D10" s="18"/>
      <c r="E10" s="18"/>
      <c r="F10" s="18"/>
      <c r="G10" s="18"/>
      <c r="H10" s="18"/>
      <c r="I10" s="18"/>
      <c r="J10" s="18"/>
      <c r="K10" s="18"/>
    </row>
    <row r="11" spans="1:12" x14ac:dyDescent="0.25">
      <c r="A11" s="19"/>
      <c r="B11" s="20" t="s">
        <v>77</v>
      </c>
      <c r="C11" s="21" t="s">
        <v>78</v>
      </c>
      <c r="D11" s="21" t="s">
        <v>79</v>
      </c>
      <c r="E11" s="21" t="s">
        <v>80</v>
      </c>
      <c r="F11" s="21" t="s">
        <v>81</v>
      </c>
      <c r="G11" s="21" t="s">
        <v>82</v>
      </c>
      <c r="H11" s="21" t="s">
        <v>83</v>
      </c>
      <c r="I11" s="21" t="s">
        <v>84</v>
      </c>
      <c r="J11" s="21" t="s">
        <v>85</v>
      </c>
      <c r="K11" s="22" t="s">
        <v>88</v>
      </c>
      <c r="L11" s="23" t="s">
        <v>55</v>
      </c>
    </row>
    <row r="12" spans="1:12" x14ac:dyDescent="0.25">
      <c r="A12" s="24" t="s">
        <v>4</v>
      </c>
      <c r="B12" s="25"/>
      <c r="C12" s="26"/>
      <c r="D12" s="26"/>
      <c r="E12" s="26"/>
      <c r="F12" s="26"/>
      <c r="G12" s="26"/>
      <c r="H12" s="26"/>
      <c r="I12" s="26"/>
      <c r="J12" s="26"/>
      <c r="K12" s="27"/>
      <c r="L12" s="28"/>
    </row>
    <row r="13" spans="1:12" x14ac:dyDescent="0.25">
      <c r="A13" s="24" t="s">
        <v>10</v>
      </c>
      <c r="B13" s="25"/>
      <c r="C13" s="26"/>
      <c r="D13" s="26"/>
      <c r="E13" s="26"/>
      <c r="F13" s="26"/>
      <c r="G13" s="26"/>
      <c r="H13" s="26"/>
      <c r="I13" s="26"/>
      <c r="J13" s="26"/>
      <c r="K13" s="27"/>
      <c r="L13" s="28"/>
    </row>
    <row r="14" spans="1:12" x14ac:dyDescent="0.25">
      <c r="A14" s="34" t="s">
        <v>58</v>
      </c>
      <c r="B14" s="30"/>
      <c r="C14" s="31"/>
      <c r="D14" s="31"/>
      <c r="E14" s="31"/>
      <c r="F14" s="31"/>
      <c r="G14" s="31"/>
      <c r="H14" s="31"/>
      <c r="I14" s="31"/>
      <c r="J14" s="31"/>
      <c r="K14" s="32"/>
      <c r="L14" s="33"/>
    </row>
    <row r="15" spans="1:12" x14ac:dyDescent="0.25">
      <c r="A15" s="34" t="s">
        <v>89</v>
      </c>
      <c r="B15" s="30">
        <f>('Case &amp; Scenario Parameters'!$B$7*'Unit Prices'!$C$7*$B$2)+('Case &amp; Scenario Parameters'!$B$7*'Unit Prices'!$C$8*$C$2)</f>
        <v>1300000</v>
      </c>
      <c r="C15" s="31"/>
      <c r="D15" s="31"/>
      <c r="E15" s="31"/>
      <c r="F15" s="31"/>
      <c r="G15" s="31"/>
      <c r="H15" s="31"/>
      <c r="I15" s="31"/>
      <c r="J15" s="31"/>
      <c r="K15" s="32"/>
      <c r="L15" s="33">
        <f t="shared" ref="L15:L20" si="0">SUM(B15:K15)</f>
        <v>1300000</v>
      </c>
    </row>
    <row r="16" spans="1:12" x14ac:dyDescent="0.25">
      <c r="A16" s="34" t="s">
        <v>90</v>
      </c>
      <c r="B16" s="30">
        <f>('Case &amp; Scenario Parameters'!$C$7*'Unit Prices'!$C$7*$B$2)+('Case &amp; Scenario Parameters'!$C$7*'Unit Prices'!$C$8*$C$2)</f>
        <v>0</v>
      </c>
      <c r="C16" s="31"/>
      <c r="D16" s="31"/>
      <c r="E16" s="31"/>
      <c r="F16" s="31"/>
      <c r="G16" s="31"/>
      <c r="H16" s="31"/>
      <c r="I16" s="31"/>
      <c r="J16" s="31"/>
      <c r="K16" s="32"/>
      <c r="L16" s="33">
        <f t="shared" si="0"/>
        <v>0</v>
      </c>
    </row>
    <row r="17" spans="1:12" x14ac:dyDescent="0.25">
      <c r="A17" s="35" t="s">
        <v>91</v>
      </c>
      <c r="B17" s="30">
        <f>('Case &amp; Scenario Parameters'!$D$7*'Unit Prices'!$C$7*$B$2)+('Case &amp; Scenario Parameters'!$D$7*'Unit Prices'!$C$8*$C$2)</f>
        <v>0</v>
      </c>
      <c r="C17" s="31"/>
      <c r="D17" s="31"/>
      <c r="E17" s="31"/>
      <c r="F17" s="31"/>
      <c r="G17" s="31"/>
      <c r="H17" s="31"/>
      <c r="I17" s="31"/>
      <c r="J17" s="31"/>
      <c r="K17" s="32"/>
      <c r="L17" s="33">
        <f t="shared" si="0"/>
        <v>0</v>
      </c>
    </row>
    <row r="18" spans="1:12" x14ac:dyDescent="0.25">
      <c r="A18" s="34" t="s">
        <v>92</v>
      </c>
      <c r="B18" s="30">
        <f>('Case &amp; Scenario Parameters'!$E$7*'Unit Prices'!$C$7*$B$2)+('Case &amp; Scenario Parameters'!$E$7*'Unit Prices'!$C$8*$C$2)</f>
        <v>68000</v>
      </c>
      <c r="C18" s="31"/>
      <c r="D18" s="31"/>
      <c r="E18" s="31"/>
      <c r="F18" s="31"/>
      <c r="G18" s="31"/>
      <c r="H18" s="31"/>
      <c r="I18" s="31"/>
      <c r="J18" s="31"/>
      <c r="K18" s="32"/>
      <c r="L18" s="33">
        <f t="shared" si="0"/>
        <v>68000</v>
      </c>
    </row>
    <row r="19" spans="1:12" x14ac:dyDescent="0.25">
      <c r="A19" s="34" t="s">
        <v>93</v>
      </c>
      <c r="B19" s="30">
        <f>('Case &amp; Scenario Parameters'!$F$7*'Unit Prices'!$C$7*$B$2)+('Case &amp; Scenario Parameters'!$F$7*'Unit Prices'!$C$8*$C$2)</f>
        <v>0</v>
      </c>
      <c r="C19" s="31"/>
      <c r="D19" s="31"/>
      <c r="E19" s="31"/>
      <c r="F19" s="31"/>
      <c r="G19" s="31"/>
      <c r="H19" s="47" t="s">
        <v>113</v>
      </c>
      <c r="I19" s="31"/>
      <c r="J19" s="31"/>
      <c r="K19" s="32"/>
      <c r="L19" s="33">
        <f t="shared" si="0"/>
        <v>0</v>
      </c>
    </row>
    <row r="20" spans="1:12" x14ac:dyDescent="0.25">
      <c r="A20" s="34" t="s">
        <v>94</v>
      </c>
      <c r="B20" s="30">
        <f>SUM(B15:B19)*'Unit Prices'!$C$9</f>
        <v>41040</v>
      </c>
      <c r="C20" s="31"/>
      <c r="D20" s="31"/>
      <c r="E20" s="31"/>
      <c r="F20" s="31"/>
      <c r="G20" s="31"/>
      <c r="H20" s="31"/>
      <c r="I20" s="31"/>
      <c r="J20" s="31"/>
      <c r="K20" s="32"/>
      <c r="L20" s="33">
        <f t="shared" si="0"/>
        <v>41040</v>
      </c>
    </row>
    <row r="21" spans="1:12" x14ac:dyDescent="0.25">
      <c r="A21" s="34" t="s">
        <v>59</v>
      </c>
      <c r="B21" s="30"/>
      <c r="C21" s="31"/>
      <c r="D21" s="31"/>
      <c r="E21" s="31"/>
      <c r="F21" s="31"/>
      <c r="G21" s="31"/>
      <c r="H21" s="31"/>
      <c r="I21" s="31"/>
      <c r="J21" s="31"/>
      <c r="K21" s="32"/>
      <c r="L21" s="33"/>
    </row>
    <row r="22" spans="1:12" x14ac:dyDescent="0.25">
      <c r="A22" s="34" t="s">
        <v>89</v>
      </c>
      <c r="B22" s="30">
        <f>('Case &amp; Scenario Parameters'!$B$10*'Unit Prices'!$C$11*$B$3)+('Case &amp; Scenario Parameters'!$B$10*'Unit Prices'!$C$12*$C$3)</f>
        <v>1170000</v>
      </c>
      <c r="C22" s="31"/>
      <c r="D22" s="31"/>
      <c r="E22" s="31"/>
      <c r="F22" s="31"/>
      <c r="G22" s="31"/>
      <c r="H22" s="31"/>
      <c r="I22" s="31"/>
      <c r="J22" s="31"/>
      <c r="K22" s="32"/>
      <c r="L22" s="33">
        <f t="shared" ref="L22:L27" si="1">SUM(B22:K22)</f>
        <v>1170000</v>
      </c>
    </row>
    <row r="23" spans="1:12" x14ac:dyDescent="0.25">
      <c r="A23" s="34" t="s">
        <v>90</v>
      </c>
      <c r="B23" s="30">
        <f>('Case &amp; Scenario Parameters'!$C$10*'Unit Prices'!$C$11*$B$3)+('Case &amp; Scenario Parameters'!$C$10*'Unit Prices'!$C$12*$C$3)</f>
        <v>13650000</v>
      </c>
      <c r="C23" s="31"/>
      <c r="D23" s="31"/>
      <c r="E23" s="31"/>
      <c r="F23" s="31"/>
      <c r="G23" s="31"/>
      <c r="H23" s="31"/>
      <c r="I23" s="31"/>
      <c r="J23" s="31"/>
      <c r="K23" s="32"/>
      <c r="L23" s="33">
        <f t="shared" si="1"/>
        <v>13650000</v>
      </c>
    </row>
    <row r="24" spans="1:12" x14ac:dyDescent="0.25">
      <c r="A24" s="35" t="s">
        <v>91</v>
      </c>
      <c r="B24" s="30">
        <f>('Case &amp; Scenario Parameters'!$D$10*'Unit Prices'!$C$11*$B$3)+('Case &amp; Scenario Parameters'!$D$10*'Unit Prices'!$C$12*$C$3)</f>
        <v>650000</v>
      </c>
      <c r="C24" s="31"/>
      <c r="D24" s="31"/>
      <c r="E24" s="31"/>
      <c r="F24" s="31"/>
      <c r="G24" s="31"/>
      <c r="H24" s="31"/>
      <c r="I24" s="31"/>
      <c r="J24" s="31"/>
      <c r="K24" s="32"/>
      <c r="L24" s="33">
        <f t="shared" si="1"/>
        <v>650000</v>
      </c>
    </row>
    <row r="25" spans="1:12" x14ac:dyDescent="0.25">
      <c r="A25" s="34" t="s">
        <v>92</v>
      </c>
      <c r="B25" s="30">
        <f>('Case &amp; Scenario Parameters'!$E$10*'Unit Prices'!$C$11*$B$3)+('Case &amp; Scenario Parameters'!$E$10*'Unit Prices'!$C$12*$C$3)</f>
        <v>0</v>
      </c>
      <c r="C25" s="31"/>
      <c r="D25" s="31"/>
      <c r="E25" s="31"/>
      <c r="F25" s="31"/>
      <c r="G25" s="31"/>
      <c r="H25" s="31"/>
      <c r="I25" s="31"/>
      <c r="J25" s="31"/>
      <c r="K25" s="32"/>
      <c r="L25" s="33">
        <f t="shared" si="1"/>
        <v>0</v>
      </c>
    </row>
    <row r="26" spans="1:12" x14ac:dyDescent="0.25">
      <c r="A26" s="34" t="s">
        <v>93</v>
      </c>
      <c r="B26" s="30">
        <f>('Case &amp; Scenario Parameters'!$F$10*'Unit Prices'!$C$11*$B$3)+('Case &amp; Scenario Parameters'!$F$10*'Unit Prices'!$C$12*$C$3)</f>
        <v>0</v>
      </c>
      <c r="C26" s="31"/>
      <c r="D26" s="31"/>
      <c r="E26" s="31"/>
      <c r="F26" s="31"/>
      <c r="G26" s="31"/>
      <c r="H26" s="31"/>
      <c r="I26" s="31"/>
      <c r="J26" s="31"/>
      <c r="K26" s="32"/>
      <c r="L26" s="33">
        <f t="shared" si="1"/>
        <v>0</v>
      </c>
    </row>
    <row r="27" spans="1:12" x14ac:dyDescent="0.25">
      <c r="A27" s="34" t="s">
        <v>95</v>
      </c>
      <c r="B27" s="30">
        <f>SUM(B22:B26)*'Unit Prices'!$C$13</f>
        <v>464100</v>
      </c>
      <c r="C27" s="31"/>
      <c r="D27" s="31"/>
      <c r="E27" s="31"/>
      <c r="F27" s="31"/>
      <c r="G27" s="31"/>
      <c r="H27" s="31"/>
      <c r="I27" s="31"/>
      <c r="J27" s="31"/>
      <c r="K27" s="32"/>
      <c r="L27" s="33">
        <f t="shared" si="1"/>
        <v>464100</v>
      </c>
    </row>
    <row r="28" spans="1:12" x14ac:dyDescent="0.25">
      <c r="A28" s="34" t="s">
        <v>96</v>
      </c>
      <c r="B28" s="30"/>
      <c r="C28" s="31"/>
      <c r="D28" s="31"/>
      <c r="E28" s="31"/>
      <c r="F28" s="31"/>
      <c r="G28" s="31"/>
      <c r="H28" s="31"/>
      <c r="I28" s="31"/>
      <c r="J28" s="31"/>
      <c r="K28" s="32"/>
      <c r="L28" s="33"/>
    </row>
    <row r="29" spans="1:12" x14ac:dyDescent="0.25">
      <c r="A29" s="34" t="s">
        <v>97</v>
      </c>
      <c r="B29" s="30">
        <f>'Case &amp; Scenario Parameters'!$G$4*'Case &amp; Scenario Parameters'!$B$22*'Unit Prices'!$C$15*'Case &amp; Scenario Parameters'!$B$60</f>
        <v>25272</v>
      </c>
      <c r="C29" s="31"/>
      <c r="D29" s="31"/>
      <c r="E29" s="31"/>
      <c r="F29" s="31"/>
      <c r="G29" s="31"/>
      <c r="H29" s="31"/>
      <c r="I29" s="31"/>
      <c r="J29" s="31"/>
      <c r="K29" s="32"/>
      <c r="L29" s="33">
        <f t="shared" ref="L29:L38" si="2">SUM(B29:K29)</f>
        <v>25272</v>
      </c>
    </row>
    <row r="30" spans="1:12" x14ac:dyDescent="0.25">
      <c r="A30" s="34" t="s">
        <v>98</v>
      </c>
      <c r="B30" s="30">
        <f>'Case &amp; Scenario Parameters'!$G$4*'Case &amp; Scenario Parameters'!$B$22*'Unit Prices'!$C$16*'Case &amp; Scenario Parameters'!$B$60</f>
        <v>473850</v>
      </c>
      <c r="C30" s="31"/>
      <c r="D30" s="31"/>
      <c r="E30" s="31"/>
      <c r="F30" s="31"/>
      <c r="G30" s="31"/>
      <c r="H30" s="31"/>
      <c r="I30" s="31"/>
      <c r="J30" s="31"/>
      <c r="K30" s="32"/>
      <c r="L30" s="33">
        <f t="shared" si="2"/>
        <v>473850</v>
      </c>
    </row>
    <row r="31" spans="1:12" x14ac:dyDescent="0.25">
      <c r="A31" s="34" t="s">
        <v>99</v>
      </c>
      <c r="B31" s="30">
        <f>'Unit Prices'!$C$17</f>
        <v>100000</v>
      </c>
      <c r="C31" s="31"/>
      <c r="D31" s="31"/>
      <c r="E31" s="31"/>
      <c r="F31" s="31"/>
      <c r="G31" s="31"/>
      <c r="H31" s="31"/>
      <c r="I31" s="31"/>
      <c r="J31" s="31"/>
      <c r="K31" s="32"/>
      <c r="L31" s="33">
        <f t="shared" si="2"/>
        <v>100000</v>
      </c>
    </row>
    <row r="32" spans="1:12" x14ac:dyDescent="0.25">
      <c r="A32" s="34" t="s">
        <v>100</v>
      </c>
      <c r="B32" s="30">
        <f>($B$15+$B$16+$B$17+$B$18+$B$19+$B$22+$B$23+$B$24+$B$25+$B$26)*'Unit Prices'!$C$18</f>
        <v>1683800</v>
      </c>
      <c r="C32" s="31"/>
      <c r="D32" s="31"/>
      <c r="E32" s="31"/>
      <c r="F32" s="31"/>
      <c r="G32" s="31"/>
      <c r="H32" s="31"/>
      <c r="I32" s="31"/>
      <c r="J32" s="31"/>
      <c r="K32" s="32"/>
      <c r="L32" s="33">
        <f t="shared" si="2"/>
        <v>1683800</v>
      </c>
    </row>
    <row r="33" spans="1:12" x14ac:dyDescent="0.25">
      <c r="A33" s="34" t="s">
        <v>101</v>
      </c>
      <c r="B33" s="30">
        <f>($B$15+$B$16+$B$17+$B$18+$B$19+$B$22+$B$23+$B$24+$B$25+$B$26)*'Unit Prices'!$C$19</f>
        <v>1683800</v>
      </c>
      <c r="C33" s="31"/>
      <c r="D33" s="31"/>
      <c r="E33" s="31"/>
      <c r="F33" s="31"/>
      <c r="G33" s="31"/>
      <c r="H33" s="31"/>
      <c r="I33" s="31"/>
      <c r="J33" s="31"/>
      <c r="K33" s="32"/>
      <c r="L33" s="33">
        <f t="shared" si="2"/>
        <v>1683800</v>
      </c>
    </row>
    <row r="34" spans="1:12" x14ac:dyDescent="0.25">
      <c r="A34" s="34" t="s">
        <v>5</v>
      </c>
      <c r="B34" s="30">
        <f>'Unit Prices'!$C$20</f>
        <v>300000</v>
      </c>
      <c r="C34" s="31"/>
      <c r="D34" s="31"/>
      <c r="E34" s="31"/>
      <c r="F34" s="31"/>
      <c r="G34" s="31"/>
      <c r="H34" s="31"/>
      <c r="I34" s="31"/>
      <c r="J34" s="31"/>
      <c r="K34" s="32"/>
      <c r="L34" s="33">
        <f t="shared" si="2"/>
        <v>300000</v>
      </c>
    </row>
    <row r="35" spans="1:12" x14ac:dyDescent="0.25">
      <c r="A35" s="34" t="s">
        <v>102</v>
      </c>
      <c r="B35" s="30">
        <f>'Unit Prices'!$C$21</f>
        <v>35000</v>
      </c>
      <c r="C35" s="31"/>
      <c r="D35" s="31"/>
      <c r="E35" s="31"/>
      <c r="F35" s="31"/>
      <c r="G35" s="31"/>
      <c r="H35" s="31"/>
      <c r="I35" s="31"/>
      <c r="J35" s="31"/>
      <c r="K35" s="32"/>
      <c r="L35" s="33">
        <f t="shared" si="2"/>
        <v>35000</v>
      </c>
    </row>
    <row r="36" spans="1:12" x14ac:dyDescent="0.25">
      <c r="A36" s="34" t="s">
        <v>103</v>
      </c>
      <c r="B36" s="30">
        <f>'Unit Prices'!$C$22</f>
        <v>200000</v>
      </c>
      <c r="C36" s="31"/>
      <c r="D36" s="31"/>
      <c r="E36" s="31"/>
      <c r="F36" s="31"/>
      <c r="G36" s="31"/>
      <c r="H36" s="31"/>
      <c r="I36" s="31"/>
      <c r="J36" s="31"/>
      <c r="K36" s="32"/>
      <c r="L36" s="33">
        <f t="shared" si="2"/>
        <v>200000</v>
      </c>
    </row>
    <row r="37" spans="1:12" x14ac:dyDescent="0.25">
      <c r="A37" s="34" t="s">
        <v>104</v>
      </c>
      <c r="B37" s="30">
        <f>'Unit Prices'!$C$23</f>
        <v>300000</v>
      </c>
      <c r="C37" s="31"/>
      <c r="D37" s="31"/>
      <c r="E37" s="31"/>
      <c r="F37" s="31"/>
      <c r="G37" s="31"/>
      <c r="H37" s="31"/>
      <c r="I37" s="31"/>
      <c r="J37" s="31"/>
      <c r="K37" s="32"/>
      <c r="L37" s="33">
        <f t="shared" si="2"/>
        <v>300000</v>
      </c>
    </row>
    <row r="38" spans="1:12" x14ac:dyDescent="0.25">
      <c r="A38" s="34" t="s">
        <v>33</v>
      </c>
      <c r="B38" s="30">
        <f>SUM(B15:B37)*'Unit Prices'!$C$25</f>
        <v>2214486.2000000002</v>
      </c>
      <c r="C38" s="31"/>
      <c r="D38" s="31"/>
      <c r="E38" s="31"/>
      <c r="F38" s="31"/>
      <c r="G38" s="31"/>
      <c r="H38" s="31"/>
      <c r="I38" s="31"/>
      <c r="J38" s="31"/>
      <c r="K38" s="32"/>
      <c r="L38" s="33">
        <f t="shared" si="2"/>
        <v>2214486.2000000002</v>
      </c>
    </row>
    <row r="39" spans="1:12" x14ac:dyDescent="0.25">
      <c r="A39" s="24" t="s">
        <v>105</v>
      </c>
      <c r="B39" s="25"/>
      <c r="C39" s="26"/>
      <c r="D39" s="26"/>
      <c r="E39" s="26"/>
      <c r="F39" s="26"/>
      <c r="G39" s="26"/>
      <c r="H39" s="26"/>
      <c r="I39" s="26"/>
      <c r="J39" s="26"/>
      <c r="K39" s="27"/>
      <c r="L39" s="28"/>
    </row>
    <row r="40" spans="1:12" x14ac:dyDescent="0.25">
      <c r="A40" s="34" t="s">
        <v>106</v>
      </c>
      <c r="B40" s="30"/>
      <c r="C40" s="31">
        <f>($B$15+$B$16+$B$17+$B$18+$B$19+$B$22+$B$23+$B$24+$B$25+$B$26)*'Unit Prices'!$C$28</f>
        <v>841900</v>
      </c>
      <c r="D40" s="31">
        <f t="shared" ref="D40:K40" si="3">C40</f>
        <v>841900</v>
      </c>
      <c r="E40" s="31">
        <f t="shared" si="3"/>
        <v>841900</v>
      </c>
      <c r="F40" s="31">
        <f t="shared" si="3"/>
        <v>841900</v>
      </c>
      <c r="G40" s="31">
        <f t="shared" si="3"/>
        <v>841900</v>
      </c>
      <c r="H40" s="31">
        <f t="shared" si="3"/>
        <v>841900</v>
      </c>
      <c r="I40" s="31">
        <f t="shared" si="3"/>
        <v>841900</v>
      </c>
      <c r="J40" s="31">
        <f t="shared" si="3"/>
        <v>841900</v>
      </c>
      <c r="K40" s="31">
        <f t="shared" si="3"/>
        <v>841900</v>
      </c>
      <c r="L40" s="33">
        <f t="shared" ref="L40:L61" si="4">SUM(B40:K40)</f>
        <v>7577100</v>
      </c>
    </row>
    <row r="41" spans="1:12" x14ac:dyDescent="0.25">
      <c r="A41" s="34" t="s">
        <v>107</v>
      </c>
      <c r="B41" s="30"/>
      <c r="C41" s="31"/>
      <c r="D41" s="31">
        <f t="shared" ref="D41:K56" si="5">C41</f>
        <v>0</v>
      </c>
      <c r="E41" s="31">
        <f t="shared" si="5"/>
        <v>0</v>
      </c>
      <c r="F41" s="31">
        <f t="shared" si="5"/>
        <v>0</v>
      </c>
      <c r="G41" s="31">
        <f t="shared" si="5"/>
        <v>0</v>
      </c>
      <c r="H41" s="31">
        <f t="shared" si="5"/>
        <v>0</v>
      </c>
      <c r="I41" s="31">
        <f t="shared" si="5"/>
        <v>0</v>
      </c>
      <c r="J41" s="31">
        <f t="shared" si="5"/>
        <v>0</v>
      </c>
      <c r="K41" s="31">
        <f t="shared" si="5"/>
        <v>0</v>
      </c>
      <c r="L41" s="33">
        <f t="shared" si="4"/>
        <v>0</v>
      </c>
    </row>
    <row r="42" spans="1:12" x14ac:dyDescent="0.25">
      <c r="A42" s="34" t="s">
        <v>89</v>
      </c>
      <c r="B42" s="30"/>
      <c r="C42" s="31">
        <f>B15*'Case &amp; Scenario Parameters'!$B$59</f>
        <v>65000</v>
      </c>
      <c r="D42" s="31">
        <f t="shared" si="5"/>
        <v>65000</v>
      </c>
      <c r="E42" s="31">
        <f t="shared" si="5"/>
        <v>65000</v>
      </c>
      <c r="F42" s="31">
        <f t="shared" si="5"/>
        <v>65000</v>
      </c>
      <c r="G42" s="31">
        <f t="shared" si="5"/>
        <v>65000</v>
      </c>
      <c r="H42" s="31">
        <f t="shared" si="5"/>
        <v>65000</v>
      </c>
      <c r="I42" s="31">
        <f t="shared" si="5"/>
        <v>65000</v>
      </c>
      <c r="J42" s="31">
        <f t="shared" si="5"/>
        <v>65000</v>
      </c>
      <c r="K42" s="31">
        <f t="shared" si="5"/>
        <v>65000</v>
      </c>
      <c r="L42" s="33">
        <f t="shared" si="4"/>
        <v>585000</v>
      </c>
    </row>
    <row r="43" spans="1:12" x14ac:dyDescent="0.25">
      <c r="A43" s="34" t="s">
        <v>90</v>
      </c>
      <c r="B43" s="30"/>
      <c r="C43" s="31">
        <f>B16*'Case &amp; Scenario Parameters'!$B$59</f>
        <v>0</v>
      </c>
      <c r="D43" s="31">
        <f t="shared" si="5"/>
        <v>0</v>
      </c>
      <c r="E43" s="31">
        <f t="shared" si="5"/>
        <v>0</v>
      </c>
      <c r="F43" s="31">
        <f t="shared" si="5"/>
        <v>0</v>
      </c>
      <c r="G43" s="31">
        <f t="shared" si="5"/>
        <v>0</v>
      </c>
      <c r="H43" s="31">
        <f t="shared" si="5"/>
        <v>0</v>
      </c>
      <c r="I43" s="31">
        <f t="shared" si="5"/>
        <v>0</v>
      </c>
      <c r="J43" s="31">
        <f t="shared" si="5"/>
        <v>0</v>
      </c>
      <c r="K43" s="31">
        <f t="shared" si="5"/>
        <v>0</v>
      </c>
      <c r="L43" s="33">
        <f t="shared" si="4"/>
        <v>0</v>
      </c>
    </row>
    <row r="44" spans="1:12" x14ac:dyDescent="0.25">
      <c r="A44" s="35" t="s">
        <v>91</v>
      </c>
      <c r="B44" s="30"/>
      <c r="C44" s="31">
        <f>B17*'Case &amp; Scenario Parameters'!$B$59</f>
        <v>0</v>
      </c>
      <c r="D44" s="31">
        <f t="shared" si="5"/>
        <v>0</v>
      </c>
      <c r="E44" s="31">
        <f t="shared" si="5"/>
        <v>0</v>
      </c>
      <c r="F44" s="31">
        <f t="shared" si="5"/>
        <v>0</v>
      </c>
      <c r="G44" s="31">
        <f t="shared" si="5"/>
        <v>0</v>
      </c>
      <c r="H44" s="31">
        <f t="shared" si="5"/>
        <v>0</v>
      </c>
      <c r="I44" s="31">
        <f t="shared" si="5"/>
        <v>0</v>
      </c>
      <c r="J44" s="31">
        <f t="shared" si="5"/>
        <v>0</v>
      </c>
      <c r="K44" s="31">
        <f t="shared" si="5"/>
        <v>0</v>
      </c>
      <c r="L44" s="33">
        <f t="shared" si="4"/>
        <v>0</v>
      </c>
    </row>
    <row r="45" spans="1:12" x14ac:dyDescent="0.25">
      <c r="A45" s="34" t="s">
        <v>92</v>
      </c>
      <c r="B45" s="30"/>
      <c r="C45" s="31">
        <f>B18*'Case &amp; Scenario Parameters'!$B$59</f>
        <v>3400</v>
      </c>
      <c r="D45" s="31">
        <f t="shared" si="5"/>
        <v>3400</v>
      </c>
      <c r="E45" s="31">
        <f t="shared" si="5"/>
        <v>3400</v>
      </c>
      <c r="F45" s="31">
        <f t="shared" si="5"/>
        <v>3400</v>
      </c>
      <c r="G45" s="31">
        <f t="shared" si="5"/>
        <v>3400</v>
      </c>
      <c r="H45" s="31">
        <f t="shared" si="5"/>
        <v>3400</v>
      </c>
      <c r="I45" s="31">
        <f t="shared" si="5"/>
        <v>3400</v>
      </c>
      <c r="J45" s="31">
        <f t="shared" si="5"/>
        <v>3400</v>
      </c>
      <c r="K45" s="31">
        <f t="shared" si="5"/>
        <v>3400</v>
      </c>
      <c r="L45" s="33">
        <f t="shared" si="4"/>
        <v>30600</v>
      </c>
    </row>
    <row r="46" spans="1:12" x14ac:dyDescent="0.25">
      <c r="A46" s="34" t="s">
        <v>93</v>
      </c>
      <c r="B46" s="30"/>
      <c r="C46" s="31">
        <f>B19*'Case &amp; Scenario Parameters'!$B$59</f>
        <v>0</v>
      </c>
      <c r="D46" s="31">
        <f t="shared" si="5"/>
        <v>0</v>
      </c>
      <c r="E46" s="31">
        <f t="shared" si="5"/>
        <v>0</v>
      </c>
      <c r="F46" s="31">
        <f t="shared" si="5"/>
        <v>0</v>
      </c>
      <c r="G46" s="31">
        <f t="shared" si="5"/>
        <v>0</v>
      </c>
      <c r="H46" s="31">
        <f t="shared" si="5"/>
        <v>0</v>
      </c>
      <c r="I46" s="31">
        <f t="shared" si="5"/>
        <v>0</v>
      </c>
      <c r="J46" s="31">
        <f t="shared" si="5"/>
        <v>0</v>
      </c>
      <c r="K46" s="31">
        <f t="shared" si="5"/>
        <v>0</v>
      </c>
      <c r="L46" s="33">
        <f t="shared" si="4"/>
        <v>0</v>
      </c>
    </row>
    <row r="47" spans="1:12" x14ac:dyDescent="0.25">
      <c r="A47" s="34" t="s">
        <v>94</v>
      </c>
      <c r="B47" s="30"/>
      <c r="C47" s="31">
        <f>SUM(C42:C46)*'Unit Prices'!$C$9</f>
        <v>2052</v>
      </c>
      <c r="D47" s="31">
        <f t="shared" si="5"/>
        <v>2052</v>
      </c>
      <c r="E47" s="31">
        <f t="shared" si="5"/>
        <v>2052</v>
      </c>
      <c r="F47" s="31">
        <f t="shared" si="5"/>
        <v>2052</v>
      </c>
      <c r="G47" s="31">
        <f t="shared" si="5"/>
        <v>2052</v>
      </c>
      <c r="H47" s="31">
        <f t="shared" si="5"/>
        <v>2052</v>
      </c>
      <c r="I47" s="31">
        <f t="shared" si="5"/>
        <v>2052</v>
      </c>
      <c r="J47" s="31">
        <f t="shared" si="5"/>
        <v>2052</v>
      </c>
      <c r="K47" s="31">
        <f t="shared" si="5"/>
        <v>2052</v>
      </c>
      <c r="L47" s="33">
        <f t="shared" si="4"/>
        <v>18468</v>
      </c>
    </row>
    <row r="48" spans="1:12" x14ac:dyDescent="0.25">
      <c r="A48" s="51" t="s">
        <v>153</v>
      </c>
      <c r="B48" s="30"/>
      <c r="C48" s="31"/>
      <c r="D48" s="31">
        <f t="shared" si="5"/>
        <v>0</v>
      </c>
      <c r="E48" s="31">
        <f t="shared" si="5"/>
        <v>0</v>
      </c>
      <c r="F48" s="31">
        <f t="shared" si="5"/>
        <v>0</v>
      </c>
      <c r="G48" s="31">
        <f t="shared" si="5"/>
        <v>0</v>
      </c>
      <c r="H48" s="31">
        <f t="shared" si="5"/>
        <v>0</v>
      </c>
      <c r="I48" s="31">
        <f t="shared" si="5"/>
        <v>0</v>
      </c>
      <c r="J48" s="31">
        <f t="shared" si="5"/>
        <v>0</v>
      </c>
      <c r="K48" s="31">
        <f t="shared" si="5"/>
        <v>0</v>
      </c>
      <c r="L48" s="33">
        <f t="shared" si="4"/>
        <v>0</v>
      </c>
    </row>
    <row r="49" spans="1:12" x14ac:dyDescent="0.25">
      <c r="A49" s="34" t="s">
        <v>89</v>
      </c>
      <c r="B49" s="30"/>
      <c r="C49" s="31">
        <f>B22*'Case &amp; Scenario Parameters'!$B$59</f>
        <v>58500</v>
      </c>
      <c r="D49" s="31">
        <f t="shared" si="5"/>
        <v>58500</v>
      </c>
      <c r="E49" s="31">
        <f t="shared" si="5"/>
        <v>58500</v>
      </c>
      <c r="F49" s="31">
        <f t="shared" si="5"/>
        <v>58500</v>
      </c>
      <c r="G49" s="31">
        <f t="shared" si="5"/>
        <v>58500</v>
      </c>
      <c r="H49" s="31">
        <f t="shared" si="5"/>
        <v>58500</v>
      </c>
      <c r="I49" s="31">
        <f t="shared" si="5"/>
        <v>58500</v>
      </c>
      <c r="J49" s="31">
        <f t="shared" si="5"/>
        <v>58500</v>
      </c>
      <c r="K49" s="31">
        <f t="shared" si="5"/>
        <v>58500</v>
      </c>
      <c r="L49" s="33">
        <f t="shared" si="4"/>
        <v>526500</v>
      </c>
    </row>
    <row r="50" spans="1:12" x14ac:dyDescent="0.25">
      <c r="A50" s="34" t="s">
        <v>90</v>
      </c>
      <c r="B50" s="30"/>
      <c r="C50" s="31">
        <f>B23*'Case &amp; Scenario Parameters'!$B$59</f>
        <v>682500</v>
      </c>
      <c r="D50" s="31">
        <f t="shared" si="5"/>
        <v>682500</v>
      </c>
      <c r="E50" s="31">
        <f t="shared" si="5"/>
        <v>682500</v>
      </c>
      <c r="F50" s="31">
        <f t="shared" si="5"/>
        <v>682500</v>
      </c>
      <c r="G50" s="31">
        <f t="shared" si="5"/>
        <v>682500</v>
      </c>
      <c r="H50" s="31">
        <f t="shared" si="5"/>
        <v>682500</v>
      </c>
      <c r="I50" s="31">
        <f t="shared" si="5"/>
        <v>682500</v>
      </c>
      <c r="J50" s="31">
        <f t="shared" si="5"/>
        <v>682500</v>
      </c>
      <c r="K50" s="31">
        <f t="shared" si="5"/>
        <v>682500</v>
      </c>
      <c r="L50" s="33">
        <f t="shared" si="4"/>
        <v>6142500</v>
      </c>
    </row>
    <row r="51" spans="1:12" x14ac:dyDescent="0.25">
      <c r="A51" s="35" t="s">
        <v>91</v>
      </c>
      <c r="B51" s="30"/>
      <c r="C51" s="31">
        <f>B24*'Case &amp; Scenario Parameters'!$B$59</f>
        <v>32500</v>
      </c>
      <c r="D51" s="31">
        <f t="shared" si="5"/>
        <v>32500</v>
      </c>
      <c r="E51" s="31">
        <f t="shared" si="5"/>
        <v>32500</v>
      </c>
      <c r="F51" s="31">
        <f t="shared" si="5"/>
        <v>32500</v>
      </c>
      <c r="G51" s="31">
        <f t="shared" si="5"/>
        <v>32500</v>
      </c>
      <c r="H51" s="31">
        <f t="shared" si="5"/>
        <v>32500</v>
      </c>
      <c r="I51" s="31">
        <f t="shared" si="5"/>
        <v>32500</v>
      </c>
      <c r="J51" s="31">
        <f t="shared" si="5"/>
        <v>32500</v>
      </c>
      <c r="K51" s="31">
        <f t="shared" si="5"/>
        <v>32500</v>
      </c>
      <c r="L51" s="33">
        <f t="shared" si="4"/>
        <v>292500</v>
      </c>
    </row>
    <row r="52" spans="1:12" x14ac:dyDescent="0.25">
      <c r="A52" s="34" t="s">
        <v>92</v>
      </c>
      <c r="B52" s="30"/>
      <c r="C52" s="31">
        <f>B25*'Case &amp; Scenario Parameters'!$B$59</f>
        <v>0</v>
      </c>
      <c r="D52" s="31">
        <f t="shared" si="5"/>
        <v>0</v>
      </c>
      <c r="E52" s="31">
        <f t="shared" si="5"/>
        <v>0</v>
      </c>
      <c r="F52" s="31">
        <f t="shared" si="5"/>
        <v>0</v>
      </c>
      <c r="G52" s="31">
        <f t="shared" si="5"/>
        <v>0</v>
      </c>
      <c r="H52" s="31">
        <f t="shared" si="5"/>
        <v>0</v>
      </c>
      <c r="I52" s="31">
        <f t="shared" si="5"/>
        <v>0</v>
      </c>
      <c r="J52" s="31">
        <f t="shared" si="5"/>
        <v>0</v>
      </c>
      <c r="K52" s="31">
        <f t="shared" si="5"/>
        <v>0</v>
      </c>
      <c r="L52" s="33">
        <f t="shared" si="4"/>
        <v>0</v>
      </c>
    </row>
    <row r="53" spans="1:12" x14ac:dyDescent="0.25">
      <c r="A53" s="34" t="s">
        <v>93</v>
      </c>
      <c r="B53" s="30"/>
      <c r="C53" s="31">
        <f>B26*'Case &amp; Scenario Parameters'!$B$59</f>
        <v>0</v>
      </c>
      <c r="D53" s="31">
        <f t="shared" si="5"/>
        <v>0</v>
      </c>
      <c r="E53" s="31">
        <f t="shared" si="5"/>
        <v>0</v>
      </c>
      <c r="F53" s="31">
        <f t="shared" si="5"/>
        <v>0</v>
      </c>
      <c r="G53" s="31">
        <f t="shared" si="5"/>
        <v>0</v>
      </c>
      <c r="H53" s="31">
        <f t="shared" si="5"/>
        <v>0</v>
      </c>
      <c r="I53" s="31">
        <f t="shared" si="5"/>
        <v>0</v>
      </c>
      <c r="J53" s="31">
        <f t="shared" si="5"/>
        <v>0</v>
      </c>
      <c r="K53" s="31">
        <f t="shared" si="5"/>
        <v>0</v>
      </c>
      <c r="L53" s="33">
        <f t="shared" si="4"/>
        <v>0</v>
      </c>
    </row>
    <row r="54" spans="1:12" x14ac:dyDescent="0.25">
      <c r="A54" s="34" t="s">
        <v>95</v>
      </c>
      <c r="B54" s="30"/>
      <c r="C54" s="31">
        <f>SUM(C49:C53)*'Unit Prices'!$C$13</f>
        <v>23205</v>
      </c>
      <c r="D54" s="31">
        <f t="shared" si="5"/>
        <v>23205</v>
      </c>
      <c r="E54" s="31">
        <f t="shared" si="5"/>
        <v>23205</v>
      </c>
      <c r="F54" s="31">
        <f t="shared" si="5"/>
        <v>23205</v>
      </c>
      <c r="G54" s="31">
        <f t="shared" si="5"/>
        <v>23205</v>
      </c>
      <c r="H54" s="31">
        <f t="shared" si="5"/>
        <v>23205</v>
      </c>
      <c r="I54" s="31">
        <f t="shared" si="5"/>
        <v>23205</v>
      </c>
      <c r="J54" s="31">
        <f t="shared" si="5"/>
        <v>23205</v>
      </c>
      <c r="K54" s="31">
        <f t="shared" si="5"/>
        <v>23205</v>
      </c>
      <c r="L54" s="33">
        <f t="shared" si="4"/>
        <v>208845</v>
      </c>
    </row>
    <row r="55" spans="1:12" x14ac:dyDescent="0.25">
      <c r="A55" s="51" t="s">
        <v>154</v>
      </c>
      <c r="B55" s="30"/>
      <c r="C55" s="31"/>
      <c r="D55" s="31">
        <f t="shared" si="5"/>
        <v>0</v>
      </c>
      <c r="E55" s="31">
        <f t="shared" si="5"/>
        <v>0</v>
      </c>
      <c r="F55" s="31">
        <f t="shared" si="5"/>
        <v>0</v>
      </c>
      <c r="G55" s="31">
        <f t="shared" si="5"/>
        <v>0</v>
      </c>
      <c r="H55" s="31">
        <f t="shared" si="5"/>
        <v>0</v>
      </c>
      <c r="I55" s="31">
        <f t="shared" si="5"/>
        <v>0</v>
      </c>
      <c r="J55" s="31">
        <f t="shared" si="5"/>
        <v>0</v>
      </c>
      <c r="K55" s="31">
        <f t="shared" si="5"/>
        <v>0</v>
      </c>
      <c r="L55" s="33">
        <f t="shared" si="4"/>
        <v>0</v>
      </c>
    </row>
    <row r="56" spans="1:12" x14ac:dyDescent="0.25">
      <c r="A56" s="34" t="s">
        <v>97</v>
      </c>
      <c r="B56" s="30"/>
      <c r="C56" s="31">
        <f>B29*'Case &amp; Scenario Parameters'!$B$61</f>
        <v>2527.2000000000003</v>
      </c>
      <c r="D56" s="31">
        <f t="shared" si="5"/>
        <v>2527.2000000000003</v>
      </c>
      <c r="E56" s="31">
        <f t="shared" si="5"/>
        <v>2527.2000000000003</v>
      </c>
      <c r="F56" s="31">
        <f t="shared" si="5"/>
        <v>2527.2000000000003</v>
      </c>
      <c r="G56" s="31">
        <f t="shared" si="5"/>
        <v>2527.2000000000003</v>
      </c>
      <c r="H56" s="31">
        <f t="shared" si="5"/>
        <v>2527.2000000000003</v>
      </c>
      <c r="I56" s="31">
        <f t="shared" si="5"/>
        <v>2527.2000000000003</v>
      </c>
      <c r="J56" s="31">
        <f t="shared" si="5"/>
        <v>2527.2000000000003</v>
      </c>
      <c r="K56" s="31">
        <f t="shared" si="5"/>
        <v>2527.2000000000003</v>
      </c>
      <c r="L56" s="33">
        <f t="shared" si="4"/>
        <v>22744.800000000003</v>
      </c>
    </row>
    <row r="57" spans="1:12" x14ac:dyDescent="0.25">
      <c r="A57" s="34" t="s">
        <v>98</v>
      </c>
      <c r="B57" s="30"/>
      <c r="C57" s="31">
        <f>B30*'Case &amp; Scenario Parameters'!$B$61</f>
        <v>47385</v>
      </c>
      <c r="D57" s="31">
        <f t="shared" ref="D57:K60" si="6">C57</f>
        <v>47385</v>
      </c>
      <c r="E57" s="31">
        <f t="shared" si="6"/>
        <v>47385</v>
      </c>
      <c r="F57" s="31">
        <f t="shared" si="6"/>
        <v>47385</v>
      </c>
      <c r="G57" s="31">
        <f t="shared" si="6"/>
        <v>47385</v>
      </c>
      <c r="H57" s="31">
        <f t="shared" si="6"/>
        <v>47385</v>
      </c>
      <c r="I57" s="31">
        <f t="shared" si="6"/>
        <v>47385</v>
      </c>
      <c r="J57" s="31">
        <f t="shared" si="6"/>
        <v>47385</v>
      </c>
      <c r="K57" s="31">
        <f t="shared" si="6"/>
        <v>47385</v>
      </c>
      <c r="L57" s="33">
        <f t="shared" si="4"/>
        <v>426465</v>
      </c>
    </row>
    <row r="58" spans="1:12" x14ac:dyDescent="0.25">
      <c r="A58" s="34" t="s">
        <v>108</v>
      </c>
      <c r="B58" s="30"/>
      <c r="C58" s="31">
        <f>SUM(C40:C57)*'Unit Prices'!$C$37</f>
        <v>175896.92</v>
      </c>
      <c r="D58" s="31">
        <f t="shared" si="6"/>
        <v>175896.92</v>
      </c>
      <c r="E58" s="31">
        <f t="shared" si="6"/>
        <v>175896.92</v>
      </c>
      <c r="F58" s="31">
        <f t="shared" si="6"/>
        <v>175896.92</v>
      </c>
      <c r="G58" s="31">
        <f t="shared" si="6"/>
        <v>175896.92</v>
      </c>
      <c r="H58" s="31">
        <f t="shared" si="6"/>
        <v>175896.92</v>
      </c>
      <c r="I58" s="31">
        <f t="shared" si="6"/>
        <v>175896.92</v>
      </c>
      <c r="J58" s="31">
        <f t="shared" si="6"/>
        <v>175896.92</v>
      </c>
      <c r="K58" s="31">
        <f t="shared" si="6"/>
        <v>175896.92</v>
      </c>
      <c r="L58" s="33">
        <f t="shared" si="4"/>
        <v>1583072.2799999998</v>
      </c>
    </row>
    <row r="59" spans="1:12" x14ac:dyDescent="0.25">
      <c r="A59" s="51" t="s">
        <v>135</v>
      </c>
      <c r="B59" s="36">
        <f>B$63*$B$5*'Unit Prices'!$C$38</f>
        <v>314497.5</v>
      </c>
      <c r="C59" s="36">
        <f>B59</f>
        <v>314497.5</v>
      </c>
      <c r="D59" s="36">
        <f t="shared" si="6"/>
        <v>314497.5</v>
      </c>
      <c r="E59" s="36">
        <f t="shared" si="6"/>
        <v>314497.5</v>
      </c>
      <c r="F59" s="36">
        <f t="shared" si="6"/>
        <v>314497.5</v>
      </c>
      <c r="G59" s="36">
        <f t="shared" si="6"/>
        <v>314497.5</v>
      </c>
      <c r="H59" s="36">
        <f t="shared" si="6"/>
        <v>314497.5</v>
      </c>
      <c r="I59" s="36">
        <f t="shared" si="6"/>
        <v>314497.5</v>
      </c>
      <c r="J59" s="36">
        <f t="shared" si="6"/>
        <v>314497.5</v>
      </c>
      <c r="K59" s="36">
        <f t="shared" si="6"/>
        <v>314497.5</v>
      </c>
      <c r="L59" s="33">
        <f t="shared" si="4"/>
        <v>3144975</v>
      </c>
    </row>
    <row r="60" spans="1:12" x14ac:dyDescent="0.25">
      <c r="A60" s="51" t="s">
        <v>136</v>
      </c>
      <c r="B60" s="30">
        <f>B$63*'Unit Prices'!$C$39*$B$6</f>
        <v>0</v>
      </c>
      <c r="C60" s="73">
        <f>B60</f>
        <v>0</v>
      </c>
      <c r="D60" s="73">
        <f t="shared" si="6"/>
        <v>0</v>
      </c>
      <c r="E60" s="73">
        <f t="shared" si="6"/>
        <v>0</v>
      </c>
      <c r="F60" s="73">
        <f t="shared" si="6"/>
        <v>0</v>
      </c>
      <c r="G60" s="73">
        <f t="shared" si="6"/>
        <v>0</v>
      </c>
      <c r="H60" s="73">
        <f t="shared" si="6"/>
        <v>0</v>
      </c>
      <c r="I60" s="73">
        <f t="shared" si="6"/>
        <v>0</v>
      </c>
      <c r="J60" s="73">
        <f t="shared" si="6"/>
        <v>0</v>
      </c>
      <c r="K60" s="73">
        <f t="shared" si="6"/>
        <v>0</v>
      </c>
      <c r="L60" s="33">
        <f t="shared" si="4"/>
        <v>0</v>
      </c>
    </row>
    <row r="61" spans="1:12" x14ac:dyDescent="0.25">
      <c r="A61" s="37" t="s">
        <v>114</v>
      </c>
      <c r="B61" s="38">
        <f t="shared" ref="B61:K61" si="7">SUM(B15:B58)+B59+B60</f>
        <v>24673845.699999999</v>
      </c>
      <c r="C61" s="39">
        <f t="shared" si="7"/>
        <v>2249363.62</v>
      </c>
      <c r="D61" s="39">
        <f t="shared" si="7"/>
        <v>2249363.62</v>
      </c>
      <c r="E61" s="39">
        <f t="shared" si="7"/>
        <v>2249363.62</v>
      </c>
      <c r="F61" s="39">
        <f t="shared" si="7"/>
        <v>2249363.62</v>
      </c>
      <c r="G61" s="39">
        <f t="shared" si="7"/>
        <v>2249363.62</v>
      </c>
      <c r="H61" s="39">
        <f t="shared" si="7"/>
        <v>2249363.62</v>
      </c>
      <c r="I61" s="39">
        <f t="shared" si="7"/>
        <v>2249363.62</v>
      </c>
      <c r="J61" s="39">
        <f t="shared" si="7"/>
        <v>2249363.62</v>
      </c>
      <c r="K61" s="40">
        <f t="shared" si="7"/>
        <v>2249363.62</v>
      </c>
      <c r="L61" s="41">
        <f t="shared" si="4"/>
        <v>44918118.279999986</v>
      </c>
    </row>
    <row r="62" spans="1:12" x14ac:dyDescent="0.25">
      <c r="A62" s="24" t="s">
        <v>117</v>
      </c>
      <c r="B62" s="25"/>
      <c r="C62" s="26"/>
      <c r="D62" s="26"/>
      <c r="E62" s="26"/>
      <c r="F62" s="26"/>
      <c r="G62" s="26"/>
      <c r="H62" s="26"/>
      <c r="I62" s="26"/>
      <c r="J62" s="26"/>
      <c r="K62" s="27"/>
      <c r="L62" s="28"/>
    </row>
    <row r="63" spans="1:12" x14ac:dyDescent="0.25">
      <c r="A63" s="37" t="s">
        <v>115</v>
      </c>
      <c r="B63" s="38">
        <f>'Case &amp; Scenario Parameters'!$G$11*$B$4</f>
        <v>104832500</v>
      </c>
      <c r="C63" s="38">
        <f>'Case &amp; Scenario Parameters'!$G$11*$B$4</f>
        <v>104832500</v>
      </c>
      <c r="D63" s="38">
        <f>'Case &amp; Scenario Parameters'!$G$11*$B$4</f>
        <v>104832500</v>
      </c>
      <c r="E63" s="38">
        <f>'Case &amp; Scenario Parameters'!$G$11*$B$4</f>
        <v>104832500</v>
      </c>
      <c r="F63" s="38">
        <f>'Case &amp; Scenario Parameters'!$G$11*$B$4</f>
        <v>104832500</v>
      </c>
      <c r="G63" s="38">
        <f>'Case &amp; Scenario Parameters'!$G$11*$B$4</f>
        <v>104832500</v>
      </c>
      <c r="H63" s="38">
        <f>'Case &amp; Scenario Parameters'!$G$11*$B$4</f>
        <v>104832500</v>
      </c>
      <c r="I63" s="38">
        <f>'Case &amp; Scenario Parameters'!$G$11*$B$4</f>
        <v>104832500</v>
      </c>
      <c r="J63" s="38">
        <f>'Case &amp; Scenario Parameters'!$G$11*$B$4</f>
        <v>104832500</v>
      </c>
      <c r="K63" s="38">
        <f>'Case &amp; Scenario Parameters'!$G$11*$B$4</f>
        <v>104832500</v>
      </c>
      <c r="L63" s="41">
        <f>SUM(B63:K63)</f>
        <v>1048325000</v>
      </c>
    </row>
    <row r="64" spans="1:12" x14ac:dyDescent="0.25">
      <c r="A64" s="42"/>
      <c r="B64" s="30"/>
      <c r="C64" s="31"/>
      <c r="D64" s="31"/>
      <c r="E64" s="31"/>
      <c r="F64" s="31"/>
      <c r="G64" s="31"/>
      <c r="H64" s="31"/>
      <c r="I64" s="31"/>
      <c r="J64" s="31"/>
      <c r="K64" s="32"/>
      <c r="L64" s="33"/>
    </row>
    <row r="65" spans="1:12" ht="14.25" x14ac:dyDescent="0.2"/>
    <row r="66" spans="1:12" ht="15.75" thickBot="1" x14ac:dyDescent="0.3">
      <c r="A66" s="71" t="s">
        <v>146</v>
      </c>
      <c r="C66" s="18"/>
      <c r="D66" s="18"/>
      <c r="E66" s="18"/>
      <c r="F66" s="18"/>
      <c r="G66" s="18"/>
      <c r="H66" s="18"/>
      <c r="I66" s="18"/>
      <c r="J66" s="18"/>
      <c r="K66" s="18"/>
    </row>
    <row r="67" spans="1:12" x14ac:dyDescent="0.25">
      <c r="A67" s="19"/>
      <c r="B67" s="20" t="s">
        <v>77</v>
      </c>
      <c r="C67" s="21" t="s">
        <v>78</v>
      </c>
      <c r="D67" s="21" t="s">
        <v>79</v>
      </c>
      <c r="E67" s="21" t="s">
        <v>80</v>
      </c>
      <c r="F67" s="21" t="s">
        <v>81</v>
      </c>
      <c r="G67" s="21" t="s">
        <v>82</v>
      </c>
      <c r="H67" s="21" t="s">
        <v>83</v>
      </c>
      <c r="I67" s="21" t="s">
        <v>84</v>
      </c>
      <c r="J67" s="21" t="s">
        <v>85</v>
      </c>
      <c r="K67" s="22" t="s">
        <v>88</v>
      </c>
      <c r="L67" s="23" t="s">
        <v>55</v>
      </c>
    </row>
    <row r="68" spans="1:12" ht="15" customHeight="1" x14ac:dyDescent="0.25">
      <c r="A68" s="24" t="s">
        <v>4</v>
      </c>
      <c r="B68" s="25"/>
      <c r="C68" s="26"/>
      <c r="D68" s="26"/>
      <c r="E68" s="26"/>
      <c r="F68" s="26"/>
      <c r="G68" s="26"/>
      <c r="H68" s="26"/>
      <c r="I68" s="26"/>
      <c r="J68" s="26"/>
      <c r="K68" s="27"/>
      <c r="L68" s="28"/>
    </row>
    <row r="69" spans="1:12" ht="15" customHeight="1" x14ac:dyDescent="0.25">
      <c r="A69" s="24" t="s">
        <v>10</v>
      </c>
      <c r="B69" s="25"/>
      <c r="C69" s="26"/>
      <c r="D69" s="26"/>
      <c r="E69" s="26"/>
      <c r="F69" s="26"/>
      <c r="G69" s="26"/>
      <c r="H69" s="26"/>
      <c r="I69" s="26"/>
      <c r="J69" s="26"/>
      <c r="K69" s="27"/>
      <c r="L69" s="28"/>
    </row>
    <row r="70" spans="1:12" x14ac:dyDescent="0.25">
      <c r="A70" s="34" t="s">
        <v>58</v>
      </c>
      <c r="B70" s="30"/>
      <c r="C70" s="31"/>
      <c r="D70" s="31"/>
      <c r="E70" s="31"/>
      <c r="F70" s="31"/>
      <c r="G70" s="31"/>
      <c r="H70" s="31"/>
      <c r="I70" s="31"/>
      <c r="J70" s="31"/>
      <c r="K70" s="32"/>
      <c r="L70" s="33"/>
    </row>
    <row r="71" spans="1:12" x14ac:dyDescent="0.25">
      <c r="A71" s="34" t="s">
        <v>89</v>
      </c>
      <c r="B71" s="30">
        <f>('Case &amp; Scenario Parameters'!$B$7*'Unit Prices'!$D$7*$B$2)+('Case &amp; Scenario Parameters'!$B$7*'Unit Prices'!$D$8*$C$2)</f>
        <v>1625000</v>
      </c>
      <c r="C71" s="31"/>
      <c r="D71" s="31"/>
      <c r="E71" s="31"/>
      <c r="F71" s="31"/>
      <c r="G71" s="31"/>
      <c r="H71" s="31"/>
      <c r="I71" s="31"/>
      <c r="J71" s="31"/>
      <c r="K71" s="32"/>
      <c r="L71" s="33">
        <f t="shared" ref="L71:L76" si="8">SUM(B71:K71)</f>
        <v>1625000</v>
      </c>
    </row>
    <row r="72" spans="1:12" x14ac:dyDescent="0.25">
      <c r="A72" s="34" t="s">
        <v>90</v>
      </c>
      <c r="B72" s="30">
        <f>('Case &amp; Scenario Parameters'!$C$7*'Unit Prices'!$D$7*$B$2)+('Case &amp; Scenario Parameters'!$C$7*'Unit Prices'!$D$8*$C$2)</f>
        <v>0</v>
      </c>
      <c r="C72" s="31"/>
      <c r="D72" s="31"/>
      <c r="E72" s="31"/>
      <c r="F72" s="31"/>
      <c r="G72" s="31"/>
      <c r="H72" s="31"/>
      <c r="I72" s="31"/>
      <c r="J72" s="31"/>
      <c r="K72" s="32"/>
      <c r="L72" s="33">
        <f t="shared" si="8"/>
        <v>0</v>
      </c>
    </row>
    <row r="73" spans="1:12" x14ac:dyDescent="0.25">
      <c r="A73" s="35" t="s">
        <v>91</v>
      </c>
      <c r="B73" s="30">
        <f>('Case &amp; Scenario Parameters'!$D$7*'Unit Prices'!$D$7*$B$2)+('Case &amp; Scenario Parameters'!$D$7*'Unit Prices'!$D$8*$C$2)</f>
        <v>0</v>
      </c>
      <c r="C73" s="31"/>
      <c r="D73" s="31"/>
      <c r="E73" s="31"/>
      <c r="F73" s="31"/>
      <c r="G73" s="31"/>
      <c r="H73" s="31"/>
      <c r="I73" s="31"/>
      <c r="J73" s="31"/>
      <c r="K73" s="32"/>
      <c r="L73" s="33">
        <f t="shared" si="8"/>
        <v>0</v>
      </c>
    </row>
    <row r="74" spans="1:12" x14ac:dyDescent="0.25">
      <c r="A74" s="34" t="s">
        <v>92</v>
      </c>
      <c r="B74" s="30">
        <f>('Case &amp; Scenario Parameters'!$E$7*'Unit Prices'!$D$7*$B$2)+('Case &amp; Scenario Parameters'!$E$7*'Unit Prices'!$D$8*$C$2)</f>
        <v>85000</v>
      </c>
      <c r="C74" s="31"/>
      <c r="D74" s="31"/>
      <c r="E74" s="31"/>
      <c r="F74" s="31"/>
      <c r="G74" s="31"/>
      <c r="H74" s="31"/>
      <c r="I74" s="31"/>
      <c r="J74" s="31"/>
      <c r="K74" s="32"/>
      <c r="L74" s="33">
        <f t="shared" si="8"/>
        <v>85000</v>
      </c>
    </row>
    <row r="75" spans="1:12" x14ac:dyDescent="0.25">
      <c r="A75" s="34" t="s">
        <v>93</v>
      </c>
      <c r="B75" s="30">
        <f>('Case &amp; Scenario Parameters'!$F$7*'Unit Prices'!$D$7*$B$2)+('Case &amp; Scenario Parameters'!$F$7*'Unit Prices'!$D$8*$C$2)</f>
        <v>0</v>
      </c>
      <c r="C75" s="31"/>
      <c r="D75" s="31"/>
      <c r="E75" s="31"/>
      <c r="F75" s="31"/>
      <c r="G75" s="31"/>
      <c r="H75" s="31"/>
      <c r="I75" s="31"/>
      <c r="J75" s="31"/>
      <c r="K75" s="32"/>
      <c r="L75" s="33">
        <f t="shared" si="8"/>
        <v>0</v>
      </c>
    </row>
    <row r="76" spans="1:12" x14ac:dyDescent="0.25">
      <c r="A76" s="34" t="s">
        <v>94</v>
      </c>
      <c r="B76" s="30">
        <f>SUM(B71:B75)*'Unit Prices'!$D$9</f>
        <v>171000</v>
      </c>
      <c r="C76" s="31"/>
      <c r="D76" s="31"/>
      <c r="E76" s="31"/>
      <c r="F76" s="31"/>
      <c r="G76" s="31"/>
      <c r="H76" s="31"/>
      <c r="I76" s="31"/>
      <c r="J76" s="31"/>
      <c r="K76" s="32"/>
      <c r="L76" s="33">
        <f t="shared" si="8"/>
        <v>171000</v>
      </c>
    </row>
    <row r="77" spans="1:12" x14ac:dyDescent="0.25">
      <c r="A77" s="34" t="s">
        <v>59</v>
      </c>
      <c r="B77" s="30"/>
      <c r="C77" s="31"/>
      <c r="D77" s="31"/>
      <c r="E77" s="31"/>
      <c r="F77" s="31"/>
      <c r="G77" s="31"/>
      <c r="H77" s="31"/>
      <c r="I77" s="31"/>
      <c r="J77" s="31"/>
      <c r="K77" s="32"/>
      <c r="L77" s="33"/>
    </row>
    <row r="78" spans="1:12" x14ac:dyDescent="0.25">
      <c r="A78" s="34" t="s">
        <v>89</v>
      </c>
      <c r="B78" s="30">
        <f>('Case &amp; Scenario Parameters'!$B$10*'Unit Prices'!$D$11*$B$3)+('Case &amp; Scenario Parameters'!$B$10*'Unit Prices'!$D$12*$C$3)</f>
        <v>1350000</v>
      </c>
      <c r="C78" s="31"/>
      <c r="D78" s="31"/>
      <c r="E78" s="31"/>
      <c r="F78" s="31"/>
      <c r="G78" s="31"/>
      <c r="H78" s="31"/>
      <c r="I78" s="31"/>
      <c r="J78" s="31"/>
      <c r="K78" s="32"/>
      <c r="L78" s="33">
        <f t="shared" ref="L78:L83" si="9">SUM(B78:K78)</f>
        <v>1350000</v>
      </c>
    </row>
    <row r="79" spans="1:12" x14ac:dyDescent="0.25">
      <c r="A79" s="34" t="s">
        <v>90</v>
      </c>
      <c r="B79" s="30">
        <f>('Case &amp; Scenario Parameters'!$C$10*'Unit Prices'!$D$11*$B$3)+('Case &amp; Scenario Parameters'!$C$10*'Unit Prices'!$D$12*$C$3)</f>
        <v>15750000</v>
      </c>
      <c r="C79" s="31"/>
      <c r="D79" s="31"/>
      <c r="E79" s="31"/>
      <c r="F79" s="31"/>
      <c r="G79" s="31"/>
      <c r="H79" s="31"/>
      <c r="I79" s="31"/>
      <c r="J79" s="31"/>
      <c r="K79" s="32"/>
      <c r="L79" s="33">
        <f t="shared" si="9"/>
        <v>15750000</v>
      </c>
    </row>
    <row r="80" spans="1:12" x14ac:dyDescent="0.25">
      <c r="A80" s="35" t="s">
        <v>91</v>
      </c>
      <c r="B80" s="30">
        <f>('Case &amp; Scenario Parameters'!$D$10*'Unit Prices'!$D$11*$B$3)+('Case &amp; Scenario Parameters'!$D$10*'Unit Prices'!$D$12*$C$3)</f>
        <v>750000</v>
      </c>
      <c r="C80" s="31"/>
      <c r="D80" s="31"/>
      <c r="E80" s="31"/>
      <c r="F80" s="31"/>
      <c r="G80" s="31"/>
      <c r="H80" s="31"/>
      <c r="I80" s="31"/>
      <c r="J80" s="31"/>
      <c r="K80" s="32"/>
      <c r="L80" s="33">
        <f t="shared" si="9"/>
        <v>750000</v>
      </c>
    </row>
    <row r="81" spans="1:12" x14ac:dyDescent="0.25">
      <c r="A81" s="34" t="s">
        <v>92</v>
      </c>
      <c r="B81" s="30">
        <f>('Case &amp; Scenario Parameters'!$E$10*'Unit Prices'!$D$11*$B$3)+('Case &amp; Scenario Parameters'!$E$10*'Unit Prices'!$D$12*$C$3)</f>
        <v>0</v>
      </c>
      <c r="C81" s="31"/>
      <c r="D81" s="31"/>
      <c r="E81" s="31"/>
      <c r="F81" s="31"/>
      <c r="G81" s="31"/>
      <c r="H81" s="31"/>
      <c r="I81" s="31"/>
      <c r="J81" s="31"/>
      <c r="K81" s="32"/>
      <c r="L81" s="33">
        <f t="shared" si="9"/>
        <v>0</v>
      </c>
    </row>
    <row r="82" spans="1:12" x14ac:dyDescent="0.25">
      <c r="A82" s="34" t="s">
        <v>93</v>
      </c>
      <c r="B82" s="30">
        <f>('Case &amp; Scenario Parameters'!$F$10*'Unit Prices'!$D$11*$B$3)+('Case &amp; Scenario Parameters'!$F$10*'Unit Prices'!$D$12*$C$3)</f>
        <v>0</v>
      </c>
      <c r="C82" s="31"/>
      <c r="D82" s="31"/>
      <c r="E82" s="31"/>
      <c r="F82" s="31"/>
      <c r="G82" s="31"/>
      <c r="H82" s="31"/>
      <c r="I82" s="31"/>
      <c r="J82" s="31"/>
      <c r="K82" s="32"/>
      <c r="L82" s="33">
        <f t="shared" si="9"/>
        <v>0</v>
      </c>
    </row>
    <row r="83" spans="1:12" x14ac:dyDescent="0.25">
      <c r="A83" s="34" t="s">
        <v>95</v>
      </c>
      <c r="B83" s="30">
        <f>SUM(B78:B82)*'Unit Prices'!$D$13</f>
        <v>1785000</v>
      </c>
      <c r="C83" s="31"/>
      <c r="D83" s="31"/>
      <c r="E83" s="31"/>
      <c r="F83" s="31"/>
      <c r="G83" s="31"/>
      <c r="H83" s="31"/>
      <c r="I83" s="31"/>
      <c r="J83" s="31"/>
      <c r="K83" s="32"/>
      <c r="L83" s="33">
        <f t="shared" si="9"/>
        <v>1785000</v>
      </c>
    </row>
    <row r="84" spans="1:12" x14ac:dyDescent="0.25">
      <c r="A84" s="34" t="s">
        <v>96</v>
      </c>
      <c r="B84" s="30"/>
      <c r="C84" s="31"/>
      <c r="D84" s="31"/>
      <c r="E84" s="31"/>
      <c r="F84" s="31"/>
      <c r="G84" s="31"/>
      <c r="H84" s="31"/>
      <c r="I84" s="31"/>
      <c r="J84" s="31"/>
      <c r="K84" s="32"/>
      <c r="L84" s="33"/>
    </row>
    <row r="85" spans="1:12" x14ac:dyDescent="0.25">
      <c r="A85" s="34" t="s">
        <v>97</v>
      </c>
      <c r="B85" s="30">
        <f>'Case &amp; Scenario Parameters'!$G$4*'Case &amp; Scenario Parameters'!$B$22*'Unit Prices'!$D$15*'Case &amp; Scenario Parameters'!$B$60</f>
        <v>157950</v>
      </c>
      <c r="C85" s="31"/>
      <c r="D85" s="31"/>
      <c r="E85" s="31"/>
      <c r="F85" s="31"/>
      <c r="G85" s="31"/>
      <c r="H85" s="31"/>
      <c r="I85" s="31"/>
      <c r="J85" s="31"/>
      <c r="K85" s="32"/>
      <c r="L85" s="33">
        <f t="shared" ref="L85:L94" si="10">SUM(B85:K85)</f>
        <v>157950</v>
      </c>
    </row>
    <row r="86" spans="1:12" x14ac:dyDescent="0.25">
      <c r="A86" s="34" t="s">
        <v>98</v>
      </c>
      <c r="B86" s="30">
        <f>'Case &amp; Scenario Parameters'!$G$4*'Case &amp; Scenario Parameters'!$B$22*'Unit Prices'!$D$16*'Case &amp; Scenario Parameters'!$B$60</f>
        <v>947700</v>
      </c>
      <c r="C86" s="31"/>
      <c r="D86" s="31"/>
      <c r="E86" s="31"/>
      <c r="F86" s="31"/>
      <c r="G86" s="31"/>
      <c r="H86" s="31"/>
      <c r="I86" s="31"/>
      <c r="J86" s="31"/>
      <c r="K86" s="32"/>
      <c r="L86" s="33">
        <f t="shared" si="10"/>
        <v>947700</v>
      </c>
    </row>
    <row r="87" spans="1:12" x14ac:dyDescent="0.25">
      <c r="A87" s="34" t="s">
        <v>99</v>
      </c>
      <c r="B87" s="30">
        <f>'Unit Prices'!$D$17</f>
        <v>250000</v>
      </c>
      <c r="C87" s="31"/>
      <c r="D87" s="31"/>
      <c r="E87" s="31"/>
      <c r="F87" s="31"/>
      <c r="G87" s="31"/>
      <c r="H87" s="31"/>
      <c r="I87" s="31"/>
      <c r="J87" s="31"/>
      <c r="K87" s="32"/>
      <c r="L87" s="33">
        <f t="shared" si="10"/>
        <v>250000</v>
      </c>
    </row>
    <row r="88" spans="1:12" x14ac:dyDescent="0.25">
      <c r="A88" s="34" t="s">
        <v>100</v>
      </c>
      <c r="B88" s="30">
        <f>($B$15+$B$16+$B$17+$B$18+$B$19+$B$22+$B$23+$B$24+$B$25+$B$26)*'Unit Prices'!$D$18</f>
        <v>3367600</v>
      </c>
      <c r="C88" s="31"/>
      <c r="D88" s="31"/>
      <c r="E88" s="31"/>
      <c r="F88" s="31"/>
      <c r="G88" s="31"/>
      <c r="H88" s="31"/>
      <c r="I88" s="31"/>
      <c r="J88" s="31"/>
      <c r="K88" s="32"/>
      <c r="L88" s="33">
        <f t="shared" si="10"/>
        <v>3367600</v>
      </c>
    </row>
    <row r="89" spans="1:12" x14ac:dyDescent="0.25">
      <c r="A89" s="34" t="s">
        <v>101</v>
      </c>
      <c r="B89" s="30">
        <f>($B$15+$B$16+$B$17+$B$18+$B$19+$B$22+$B$23+$B$24+$B$25+$B$26)*'Unit Prices'!$D$19</f>
        <v>3367600</v>
      </c>
      <c r="C89" s="31"/>
      <c r="D89" s="31"/>
      <c r="E89" s="31"/>
      <c r="F89" s="31"/>
      <c r="G89" s="31"/>
      <c r="H89" s="31"/>
      <c r="I89" s="31"/>
      <c r="J89" s="31"/>
      <c r="K89" s="32"/>
      <c r="L89" s="33">
        <f t="shared" si="10"/>
        <v>3367600</v>
      </c>
    </row>
    <row r="90" spans="1:12" x14ac:dyDescent="0.25">
      <c r="A90" s="34" t="s">
        <v>5</v>
      </c>
      <c r="B90" s="30">
        <f>'Unit Prices'!$D$20</f>
        <v>2000000</v>
      </c>
      <c r="C90" s="31"/>
      <c r="D90" s="31"/>
      <c r="E90" s="31"/>
      <c r="F90" s="31"/>
      <c r="G90" s="31"/>
      <c r="H90" s="31"/>
      <c r="I90" s="31"/>
      <c r="J90" s="31"/>
      <c r="K90" s="32"/>
      <c r="L90" s="33">
        <f t="shared" si="10"/>
        <v>2000000</v>
      </c>
    </row>
    <row r="91" spans="1:12" x14ac:dyDescent="0.25">
      <c r="A91" s="34" t="s">
        <v>102</v>
      </c>
      <c r="B91" s="30">
        <f>'Unit Prices'!$D$21</f>
        <v>55000</v>
      </c>
      <c r="C91" s="31"/>
      <c r="D91" s="31"/>
      <c r="E91" s="31"/>
      <c r="F91" s="31"/>
      <c r="G91" s="31"/>
      <c r="H91" s="31"/>
      <c r="I91" s="31"/>
      <c r="J91" s="31"/>
      <c r="K91" s="32"/>
      <c r="L91" s="33">
        <f t="shared" si="10"/>
        <v>55000</v>
      </c>
    </row>
    <row r="92" spans="1:12" x14ac:dyDescent="0.25">
      <c r="A92" s="34" t="s">
        <v>103</v>
      </c>
      <c r="B92" s="30">
        <f>'Unit Prices'!$D$22</f>
        <v>750000</v>
      </c>
      <c r="C92" s="31"/>
      <c r="D92" s="31"/>
      <c r="E92" s="31"/>
      <c r="F92" s="31"/>
      <c r="G92" s="31"/>
      <c r="H92" s="31"/>
      <c r="I92" s="31"/>
      <c r="J92" s="31"/>
      <c r="K92" s="32"/>
      <c r="L92" s="33">
        <f t="shared" si="10"/>
        <v>750000</v>
      </c>
    </row>
    <row r="93" spans="1:12" x14ac:dyDescent="0.25">
      <c r="A93" s="34" t="s">
        <v>104</v>
      </c>
      <c r="B93" s="30">
        <f>'Unit Prices'!$D$23</f>
        <v>400000</v>
      </c>
      <c r="C93" s="31"/>
      <c r="D93" s="31"/>
      <c r="E93" s="31"/>
      <c r="F93" s="31"/>
      <c r="G93" s="31"/>
      <c r="H93" s="31"/>
      <c r="I93" s="31"/>
      <c r="J93" s="31"/>
      <c r="K93" s="32"/>
      <c r="L93" s="33">
        <f t="shared" si="10"/>
        <v>400000</v>
      </c>
    </row>
    <row r="94" spans="1:12" x14ac:dyDescent="0.25">
      <c r="A94" s="51" t="s">
        <v>108</v>
      </c>
      <c r="B94" s="73">
        <f>SUM(B71:B93)*'Unit Prices'!$D$25</f>
        <v>4921777.5</v>
      </c>
      <c r="C94" s="31"/>
      <c r="D94" s="31"/>
      <c r="E94" s="31"/>
      <c r="F94" s="31"/>
      <c r="G94" s="31"/>
      <c r="H94" s="31"/>
      <c r="I94" s="31"/>
      <c r="J94" s="31"/>
      <c r="K94" s="32"/>
      <c r="L94" s="33">
        <f t="shared" si="10"/>
        <v>4921777.5</v>
      </c>
    </row>
    <row r="95" spans="1:12" x14ac:dyDescent="0.25">
      <c r="A95" s="24" t="s">
        <v>105</v>
      </c>
      <c r="B95" s="25"/>
      <c r="C95" s="26"/>
      <c r="D95" s="26"/>
      <c r="E95" s="26"/>
      <c r="F95" s="26"/>
      <c r="G95" s="26"/>
      <c r="H95" s="26"/>
      <c r="I95" s="26"/>
      <c r="J95" s="26"/>
      <c r="K95" s="27"/>
      <c r="L95" s="28"/>
    </row>
    <row r="96" spans="1:12" x14ac:dyDescent="0.25">
      <c r="A96" s="34" t="s">
        <v>106</v>
      </c>
      <c r="B96" s="30"/>
      <c r="C96" s="31">
        <f>($B$15+$B$16+$B$17+$B$18+$B$19+$B$22+$B$23+$B$24+$B$25+$B$26)*'Unit Prices'!$D$28</f>
        <v>1010280</v>
      </c>
      <c r="D96" s="31">
        <f t="shared" ref="D96:K96" si="11">C96</f>
        <v>1010280</v>
      </c>
      <c r="E96" s="31">
        <f t="shared" si="11"/>
        <v>1010280</v>
      </c>
      <c r="F96" s="31">
        <f t="shared" si="11"/>
        <v>1010280</v>
      </c>
      <c r="G96" s="31">
        <f t="shared" si="11"/>
        <v>1010280</v>
      </c>
      <c r="H96" s="31">
        <f t="shared" si="11"/>
        <v>1010280</v>
      </c>
      <c r="I96" s="31">
        <f t="shared" si="11"/>
        <v>1010280</v>
      </c>
      <c r="J96" s="31">
        <f t="shared" si="11"/>
        <v>1010280</v>
      </c>
      <c r="K96" s="31">
        <f t="shared" si="11"/>
        <v>1010280</v>
      </c>
      <c r="L96" s="33">
        <f t="shared" ref="L96:L117" si="12">SUM(B96:K96)</f>
        <v>9092520</v>
      </c>
    </row>
    <row r="97" spans="1:12" x14ac:dyDescent="0.25">
      <c r="A97" s="51" t="s">
        <v>152</v>
      </c>
      <c r="B97" s="30"/>
      <c r="C97" s="31"/>
      <c r="D97" s="31">
        <f t="shared" ref="D97:K112" si="13">C97</f>
        <v>0</v>
      </c>
      <c r="E97" s="31">
        <f t="shared" si="13"/>
        <v>0</v>
      </c>
      <c r="F97" s="31">
        <f t="shared" si="13"/>
        <v>0</v>
      </c>
      <c r="G97" s="31">
        <f t="shared" si="13"/>
        <v>0</v>
      </c>
      <c r="H97" s="31">
        <f t="shared" si="13"/>
        <v>0</v>
      </c>
      <c r="I97" s="31">
        <f t="shared" si="13"/>
        <v>0</v>
      </c>
      <c r="J97" s="31">
        <f t="shared" si="13"/>
        <v>0</v>
      </c>
      <c r="K97" s="31">
        <f t="shared" si="13"/>
        <v>0</v>
      </c>
      <c r="L97" s="33">
        <f t="shared" si="12"/>
        <v>0</v>
      </c>
    </row>
    <row r="98" spans="1:12" x14ac:dyDescent="0.25">
      <c r="A98" s="34" t="s">
        <v>89</v>
      </c>
      <c r="B98" s="30"/>
      <c r="C98" s="31">
        <f>B71*'Case &amp; Scenario Parameters'!$B$59</f>
        <v>81250</v>
      </c>
      <c r="D98" s="31">
        <f t="shared" si="13"/>
        <v>81250</v>
      </c>
      <c r="E98" s="31">
        <f t="shared" si="13"/>
        <v>81250</v>
      </c>
      <c r="F98" s="31">
        <f t="shared" si="13"/>
        <v>81250</v>
      </c>
      <c r="G98" s="31">
        <f t="shared" si="13"/>
        <v>81250</v>
      </c>
      <c r="H98" s="31">
        <f t="shared" si="13"/>
        <v>81250</v>
      </c>
      <c r="I98" s="31">
        <f t="shared" si="13"/>
        <v>81250</v>
      </c>
      <c r="J98" s="31">
        <f t="shared" si="13"/>
        <v>81250</v>
      </c>
      <c r="K98" s="31">
        <f t="shared" si="13"/>
        <v>81250</v>
      </c>
      <c r="L98" s="33">
        <f t="shared" si="12"/>
        <v>731250</v>
      </c>
    </row>
    <row r="99" spans="1:12" x14ac:dyDescent="0.25">
      <c r="A99" s="34" t="s">
        <v>90</v>
      </c>
      <c r="B99" s="30"/>
      <c r="C99" s="31">
        <f>B72*'Case &amp; Scenario Parameters'!$B$59</f>
        <v>0</v>
      </c>
      <c r="D99" s="31">
        <f t="shared" si="13"/>
        <v>0</v>
      </c>
      <c r="E99" s="31">
        <f t="shared" si="13"/>
        <v>0</v>
      </c>
      <c r="F99" s="31">
        <f t="shared" si="13"/>
        <v>0</v>
      </c>
      <c r="G99" s="31">
        <f t="shared" si="13"/>
        <v>0</v>
      </c>
      <c r="H99" s="31">
        <f t="shared" si="13"/>
        <v>0</v>
      </c>
      <c r="I99" s="31">
        <f t="shared" si="13"/>
        <v>0</v>
      </c>
      <c r="J99" s="31">
        <f t="shared" si="13"/>
        <v>0</v>
      </c>
      <c r="K99" s="31">
        <f t="shared" si="13"/>
        <v>0</v>
      </c>
      <c r="L99" s="33">
        <f t="shared" si="12"/>
        <v>0</v>
      </c>
    </row>
    <row r="100" spans="1:12" x14ac:dyDescent="0.25">
      <c r="A100" s="35" t="s">
        <v>91</v>
      </c>
      <c r="B100" s="30"/>
      <c r="C100" s="31">
        <f>B73*'Case &amp; Scenario Parameters'!$B$59</f>
        <v>0</v>
      </c>
      <c r="D100" s="31">
        <f t="shared" si="13"/>
        <v>0</v>
      </c>
      <c r="E100" s="31">
        <f t="shared" si="13"/>
        <v>0</v>
      </c>
      <c r="F100" s="31">
        <f t="shared" si="13"/>
        <v>0</v>
      </c>
      <c r="G100" s="31">
        <f t="shared" si="13"/>
        <v>0</v>
      </c>
      <c r="H100" s="31">
        <f t="shared" si="13"/>
        <v>0</v>
      </c>
      <c r="I100" s="31">
        <f t="shared" si="13"/>
        <v>0</v>
      </c>
      <c r="J100" s="31">
        <f t="shared" si="13"/>
        <v>0</v>
      </c>
      <c r="K100" s="31">
        <f t="shared" si="13"/>
        <v>0</v>
      </c>
      <c r="L100" s="33">
        <f t="shared" si="12"/>
        <v>0</v>
      </c>
    </row>
    <row r="101" spans="1:12" x14ac:dyDescent="0.25">
      <c r="A101" s="34" t="s">
        <v>92</v>
      </c>
      <c r="B101" s="30"/>
      <c r="C101" s="31">
        <f>B74*'Case &amp; Scenario Parameters'!$B$59</f>
        <v>4250</v>
      </c>
      <c r="D101" s="31">
        <f t="shared" si="13"/>
        <v>4250</v>
      </c>
      <c r="E101" s="31">
        <f t="shared" si="13"/>
        <v>4250</v>
      </c>
      <c r="F101" s="31">
        <f t="shared" si="13"/>
        <v>4250</v>
      </c>
      <c r="G101" s="31">
        <f t="shared" si="13"/>
        <v>4250</v>
      </c>
      <c r="H101" s="31">
        <f t="shared" si="13"/>
        <v>4250</v>
      </c>
      <c r="I101" s="31">
        <f t="shared" si="13"/>
        <v>4250</v>
      </c>
      <c r="J101" s="31">
        <f t="shared" si="13"/>
        <v>4250</v>
      </c>
      <c r="K101" s="31">
        <f t="shared" si="13"/>
        <v>4250</v>
      </c>
      <c r="L101" s="33">
        <f t="shared" si="12"/>
        <v>38250</v>
      </c>
    </row>
    <row r="102" spans="1:12" x14ac:dyDescent="0.25">
      <c r="A102" s="34" t="s">
        <v>93</v>
      </c>
      <c r="B102" s="30"/>
      <c r="C102" s="31">
        <f>B75*'Case &amp; Scenario Parameters'!$B$59</f>
        <v>0</v>
      </c>
      <c r="D102" s="31">
        <f t="shared" si="13"/>
        <v>0</v>
      </c>
      <c r="E102" s="31">
        <f t="shared" si="13"/>
        <v>0</v>
      </c>
      <c r="F102" s="31">
        <f t="shared" si="13"/>
        <v>0</v>
      </c>
      <c r="G102" s="31">
        <f t="shared" si="13"/>
        <v>0</v>
      </c>
      <c r="H102" s="31">
        <f t="shared" si="13"/>
        <v>0</v>
      </c>
      <c r="I102" s="31">
        <f t="shared" si="13"/>
        <v>0</v>
      </c>
      <c r="J102" s="31">
        <f t="shared" si="13"/>
        <v>0</v>
      </c>
      <c r="K102" s="31">
        <f t="shared" si="13"/>
        <v>0</v>
      </c>
      <c r="L102" s="33">
        <f t="shared" si="12"/>
        <v>0</v>
      </c>
    </row>
    <row r="103" spans="1:12" x14ac:dyDescent="0.25">
      <c r="A103" s="34" t="s">
        <v>94</v>
      </c>
      <c r="B103" s="30"/>
      <c r="C103" s="31">
        <f>SUM(C98:C102)*'Unit Prices'!$D$9</f>
        <v>8550</v>
      </c>
      <c r="D103" s="31">
        <f t="shared" si="13"/>
        <v>8550</v>
      </c>
      <c r="E103" s="31">
        <f t="shared" si="13"/>
        <v>8550</v>
      </c>
      <c r="F103" s="31">
        <f t="shared" si="13"/>
        <v>8550</v>
      </c>
      <c r="G103" s="31">
        <f t="shared" si="13"/>
        <v>8550</v>
      </c>
      <c r="H103" s="31">
        <f t="shared" si="13"/>
        <v>8550</v>
      </c>
      <c r="I103" s="31">
        <f t="shared" si="13"/>
        <v>8550</v>
      </c>
      <c r="J103" s="31">
        <f t="shared" si="13"/>
        <v>8550</v>
      </c>
      <c r="K103" s="31">
        <f t="shared" si="13"/>
        <v>8550</v>
      </c>
      <c r="L103" s="33">
        <f t="shared" si="12"/>
        <v>76950</v>
      </c>
    </row>
    <row r="104" spans="1:12" x14ac:dyDescent="0.25">
      <c r="A104" s="51" t="s">
        <v>154</v>
      </c>
      <c r="B104" s="30"/>
      <c r="C104" s="31"/>
      <c r="D104" s="31">
        <f t="shared" si="13"/>
        <v>0</v>
      </c>
      <c r="E104" s="31">
        <f t="shared" si="13"/>
        <v>0</v>
      </c>
      <c r="F104" s="31">
        <f t="shared" si="13"/>
        <v>0</v>
      </c>
      <c r="G104" s="31">
        <f t="shared" si="13"/>
        <v>0</v>
      </c>
      <c r="H104" s="31">
        <f t="shared" si="13"/>
        <v>0</v>
      </c>
      <c r="I104" s="31">
        <f t="shared" si="13"/>
        <v>0</v>
      </c>
      <c r="J104" s="31">
        <f t="shared" si="13"/>
        <v>0</v>
      </c>
      <c r="K104" s="31">
        <f t="shared" si="13"/>
        <v>0</v>
      </c>
      <c r="L104" s="33">
        <f t="shared" si="12"/>
        <v>0</v>
      </c>
    </row>
    <row r="105" spans="1:12" x14ac:dyDescent="0.25">
      <c r="A105" s="34" t="s">
        <v>89</v>
      </c>
      <c r="B105" s="30"/>
      <c r="C105" s="31">
        <f>B78*'Case &amp; Scenario Parameters'!$B$59</f>
        <v>67500</v>
      </c>
      <c r="D105" s="31">
        <f t="shared" si="13"/>
        <v>67500</v>
      </c>
      <c r="E105" s="31">
        <f t="shared" si="13"/>
        <v>67500</v>
      </c>
      <c r="F105" s="31">
        <f t="shared" si="13"/>
        <v>67500</v>
      </c>
      <c r="G105" s="31">
        <f t="shared" si="13"/>
        <v>67500</v>
      </c>
      <c r="H105" s="31">
        <f t="shared" si="13"/>
        <v>67500</v>
      </c>
      <c r="I105" s="31">
        <f t="shared" si="13"/>
        <v>67500</v>
      </c>
      <c r="J105" s="31">
        <f t="shared" si="13"/>
        <v>67500</v>
      </c>
      <c r="K105" s="31">
        <f t="shared" si="13"/>
        <v>67500</v>
      </c>
      <c r="L105" s="33">
        <f t="shared" si="12"/>
        <v>607500</v>
      </c>
    </row>
    <row r="106" spans="1:12" x14ac:dyDescent="0.25">
      <c r="A106" s="34" t="s">
        <v>90</v>
      </c>
      <c r="B106" s="30"/>
      <c r="C106" s="31">
        <f>B79*'Case &amp; Scenario Parameters'!$B$59</f>
        <v>787500</v>
      </c>
      <c r="D106" s="31">
        <f t="shared" si="13"/>
        <v>787500</v>
      </c>
      <c r="E106" s="31">
        <f t="shared" si="13"/>
        <v>787500</v>
      </c>
      <c r="F106" s="31">
        <f t="shared" si="13"/>
        <v>787500</v>
      </c>
      <c r="G106" s="31">
        <f t="shared" si="13"/>
        <v>787500</v>
      </c>
      <c r="H106" s="31">
        <f t="shared" si="13"/>
        <v>787500</v>
      </c>
      <c r="I106" s="31">
        <f t="shared" si="13"/>
        <v>787500</v>
      </c>
      <c r="J106" s="31">
        <f t="shared" si="13"/>
        <v>787500</v>
      </c>
      <c r="K106" s="31">
        <f t="shared" si="13"/>
        <v>787500</v>
      </c>
      <c r="L106" s="33">
        <f t="shared" si="12"/>
        <v>7087500</v>
      </c>
    </row>
    <row r="107" spans="1:12" x14ac:dyDescent="0.25">
      <c r="A107" s="35" t="s">
        <v>91</v>
      </c>
      <c r="B107" s="30"/>
      <c r="C107" s="31">
        <f>B80*'Case &amp; Scenario Parameters'!$B$59</f>
        <v>37500</v>
      </c>
      <c r="D107" s="31">
        <f t="shared" si="13"/>
        <v>37500</v>
      </c>
      <c r="E107" s="31">
        <f t="shared" si="13"/>
        <v>37500</v>
      </c>
      <c r="F107" s="31">
        <f t="shared" si="13"/>
        <v>37500</v>
      </c>
      <c r="G107" s="31">
        <f t="shared" si="13"/>
        <v>37500</v>
      </c>
      <c r="H107" s="31">
        <f t="shared" si="13"/>
        <v>37500</v>
      </c>
      <c r="I107" s="31">
        <f t="shared" si="13"/>
        <v>37500</v>
      </c>
      <c r="J107" s="31">
        <f t="shared" si="13"/>
        <v>37500</v>
      </c>
      <c r="K107" s="31">
        <f t="shared" si="13"/>
        <v>37500</v>
      </c>
      <c r="L107" s="33">
        <f t="shared" si="12"/>
        <v>337500</v>
      </c>
    </row>
    <row r="108" spans="1:12" x14ac:dyDescent="0.25">
      <c r="A108" s="34" t="s">
        <v>92</v>
      </c>
      <c r="B108" s="30"/>
      <c r="C108" s="31">
        <f>B81*'Case &amp; Scenario Parameters'!$B$59</f>
        <v>0</v>
      </c>
      <c r="D108" s="31">
        <f t="shared" si="13"/>
        <v>0</v>
      </c>
      <c r="E108" s="31">
        <f t="shared" si="13"/>
        <v>0</v>
      </c>
      <c r="F108" s="31">
        <f t="shared" si="13"/>
        <v>0</v>
      </c>
      <c r="G108" s="31">
        <f t="shared" si="13"/>
        <v>0</v>
      </c>
      <c r="H108" s="31">
        <f t="shared" si="13"/>
        <v>0</v>
      </c>
      <c r="I108" s="31">
        <f t="shared" si="13"/>
        <v>0</v>
      </c>
      <c r="J108" s="31">
        <f t="shared" si="13"/>
        <v>0</v>
      </c>
      <c r="K108" s="31">
        <f t="shared" si="13"/>
        <v>0</v>
      </c>
      <c r="L108" s="33">
        <f t="shared" si="12"/>
        <v>0</v>
      </c>
    </row>
    <row r="109" spans="1:12" x14ac:dyDescent="0.25">
      <c r="A109" s="34" t="s">
        <v>93</v>
      </c>
      <c r="B109" s="30"/>
      <c r="C109" s="31">
        <f>B82*'Case &amp; Scenario Parameters'!$B$59</f>
        <v>0</v>
      </c>
      <c r="D109" s="31">
        <f t="shared" si="13"/>
        <v>0</v>
      </c>
      <c r="E109" s="31">
        <f t="shared" si="13"/>
        <v>0</v>
      </c>
      <c r="F109" s="31">
        <f t="shared" si="13"/>
        <v>0</v>
      </c>
      <c r="G109" s="31">
        <f t="shared" si="13"/>
        <v>0</v>
      </c>
      <c r="H109" s="31">
        <f t="shared" si="13"/>
        <v>0</v>
      </c>
      <c r="I109" s="31">
        <f t="shared" si="13"/>
        <v>0</v>
      </c>
      <c r="J109" s="31">
        <f t="shared" si="13"/>
        <v>0</v>
      </c>
      <c r="K109" s="31">
        <f t="shared" si="13"/>
        <v>0</v>
      </c>
      <c r="L109" s="33">
        <f t="shared" si="12"/>
        <v>0</v>
      </c>
    </row>
    <row r="110" spans="1:12" x14ac:dyDescent="0.25">
      <c r="A110" s="34" t="s">
        <v>95</v>
      </c>
      <c r="B110" s="30"/>
      <c r="C110" s="31">
        <f>SUM(C105:C109)*'Unit Prices'!$D$13</f>
        <v>89250</v>
      </c>
      <c r="D110" s="31">
        <f t="shared" si="13"/>
        <v>89250</v>
      </c>
      <c r="E110" s="31">
        <f t="shared" si="13"/>
        <v>89250</v>
      </c>
      <c r="F110" s="31">
        <f t="shared" si="13"/>
        <v>89250</v>
      </c>
      <c r="G110" s="31">
        <f t="shared" si="13"/>
        <v>89250</v>
      </c>
      <c r="H110" s="31">
        <f t="shared" si="13"/>
        <v>89250</v>
      </c>
      <c r="I110" s="31">
        <f t="shared" si="13"/>
        <v>89250</v>
      </c>
      <c r="J110" s="31">
        <f t="shared" si="13"/>
        <v>89250</v>
      </c>
      <c r="K110" s="31">
        <f t="shared" si="13"/>
        <v>89250</v>
      </c>
      <c r="L110" s="33">
        <f t="shared" si="12"/>
        <v>803250</v>
      </c>
    </row>
    <row r="111" spans="1:12" x14ac:dyDescent="0.25">
      <c r="A111" s="51" t="s">
        <v>154</v>
      </c>
      <c r="B111" s="30"/>
      <c r="C111" s="31"/>
      <c r="D111" s="31">
        <f t="shared" si="13"/>
        <v>0</v>
      </c>
      <c r="E111" s="31">
        <f t="shared" si="13"/>
        <v>0</v>
      </c>
      <c r="F111" s="31">
        <f t="shared" si="13"/>
        <v>0</v>
      </c>
      <c r="G111" s="31">
        <f t="shared" si="13"/>
        <v>0</v>
      </c>
      <c r="H111" s="31">
        <f t="shared" si="13"/>
        <v>0</v>
      </c>
      <c r="I111" s="31">
        <f t="shared" si="13"/>
        <v>0</v>
      </c>
      <c r="J111" s="31">
        <f t="shared" si="13"/>
        <v>0</v>
      </c>
      <c r="K111" s="31">
        <f t="shared" si="13"/>
        <v>0</v>
      </c>
      <c r="L111" s="33">
        <f t="shared" si="12"/>
        <v>0</v>
      </c>
    </row>
    <row r="112" spans="1:12" x14ac:dyDescent="0.25">
      <c r="A112" s="34" t="s">
        <v>97</v>
      </c>
      <c r="B112" s="30"/>
      <c r="C112" s="31">
        <f>B85*'Case &amp; Scenario Parameters'!$B$61</f>
        <v>15795</v>
      </c>
      <c r="D112" s="31">
        <f t="shared" si="13"/>
        <v>15795</v>
      </c>
      <c r="E112" s="31">
        <f t="shared" si="13"/>
        <v>15795</v>
      </c>
      <c r="F112" s="31">
        <f t="shared" si="13"/>
        <v>15795</v>
      </c>
      <c r="G112" s="31">
        <f t="shared" si="13"/>
        <v>15795</v>
      </c>
      <c r="H112" s="31">
        <f t="shared" si="13"/>
        <v>15795</v>
      </c>
      <c r="I112" s="31">
        <f t="shared" si="13"/>
        <v>15795</v>
      </c>
      <c r="J112" s="31">
        <f t="shared" si="13"/>
        <v>15795</v>
      </c>
      <c r="K112" s="31">
        <f t="shared" si="13"/>
        <v>15795</v>
      </c>
      <c r="L112" s="33">
        <f t="shared" si="12"/>
        <v>142155</v>
      </c>
    </row>
    <row r="113" spans="1:12" x14ac:dyDescent="0.25">
      <c r="A113" s="34" t="s">
        <v>98</v>
      </c>
      <c r="B113" s="30"/>
      <c r="C113" s="31">
        <f>B86*'Case &amp; Scenario Parameters'!$B$61</f>
        <v>94770</v>
      </c>
      <c r="D113" s="31">
        <f t="shared" ref="D113:K116" si="14">C113</f>
        <v>94770</v>
      </c>
      <c r="E113" s="31">
        <f t="shared" si="14"/>
        <v>94770</v>
      </c>
      <c r="F113" s="31">
        <f t="shared" si="14"/>
        <v>94770</v>
      </c>
      <c r="G113" s="31">
        <f t="shared" si="14"/>
        <v>94770</v>
      </c>
      <c r="H113" s="31">
        <f t="shared" si="14"/>
        <v>94770</v>
      </c>
      <c r="I113" s="31">
        <f t="shared" si="14"/>
        <v>94770</v>
      </c>
      <c r="J113" s="31">
        <f t="shared" si="14"/>
        <v>94770</v>
      </c>
      <c r="K113" s="31">
        <f t="shared" si="14"/>
        <v>94770</v>
      </c>
      <c r="L113" s="33">
        <f t="shared" si="12"/>
        <v>852930</v>
      </c>
    </row>
    <row r="114" spans="1:12" x14ac:dyDescent="0.25">
      <c r="A114" s="34" t="s">
        <v>108</v>
      </c>
      <c r="B114" s="30"/>
      <c r="C114" s="31">
        <f>SUM(C96:C113)*'Unit Prices'!$D$37</f>
        <v>329496.75</v>
      </c>
      <c r="D114" s="31">
        <f t="shared" si="14"/>
        <v>329496.75</v>
      </c>
      <c r="E114" s="31">
        <f t="shared" si="14"/>
        <v>329496.75</v>
      </c>
      <c r="F114" s="31">
        <f t="shared" si="14"/>
        <v>329496.75</v>
      </c>
      <c r="G114" s="31">
        <f t="shared" si="14"/>
        <v>329496.75</v>
      </c>
      <c r="H114" s="31">
        <f t="shared" si="14"/>
        <v>329496.75</v>
      </c>
      <c r="I114" s="31">
        <f t="shared" si="14"/>
        <v>329496.75</v>
      </c>
      <c r="J114" s="31">
        <f t="shared" si="14"/>
        <v>329496.75</v>
      </c>
      <c r="K114" s="31">
        <f t="shared" si="14"/>
        <v>329496.75</v>
      </c>
      <c r="L114" s="33">
        <f t="shared" si="12"/>
        <v>2965470.75</v>
      </c>
    </row>
    <row r="115" spans="1:12" x14ac:dyDescent="0.25">
      <c r="A115" s="51" t="s">
        <v>135</v>
      </c>
      <c r="B115" s="36">
        <f>B$119*$B$5*'Unit Prices'!$D$38</f>
        <v>377397</v>
      </c>
      <c r="C115" s="36">
        <f>B115</f>
        <v>377397</v>
      </c>
      <c r="D115" s="36">
        <f t="shared" si="14"/>
        <v>377397</v>
      </c>
      <c r="E115" s="36">
        <f t="shared" si="14"/>
        <v>377397</v>
      </c>
      <c r="F115" s="36">
        <f t="shared" si="14"/>
        <v>377397</v>
      </c>
      <c r="G115" s="36">
        <f t="shared" si="14"/>
        <v>377397</v>
      </c>
      <c r="H115" s="36">
        <f t="shared" si="14"/>
        <v>377397</v>
      </c>
      <c r="I115" s="36">
        <f t="shared" si="14"/>
        <v>377397</v>
      </c>
      <c r="J115" s="36">
        <f t="shared" si="14"/>
        <v>377397</v>
      </c>
      <c r="K115" s="36">
        <f t="shared" si="14"/>
        <v>377397</v>
      </c>
      <c r="L115" s="33">
        <f t="shared" si="12"/>
        <v>3773970</v>
      </c>
    </row>
    <row r="116" spans="1:12" x14ac:dyDescent="0.25">
      <c r="A116" s="51" t="s">
        <v>136</v>
      </c>
      <c r="B116" s="30">
        <f>B$119*'Unit Prices'!$D$39*$B$6</f>
        <v>0</v>
      </c>
      <c r="C116" s="73">
        <f>B116</f>
        <v>0</v>
      </c>
      <c r="D116" s="73">
        <f t="shared" si="14"/>
        <v>0</v>
      </c>
      <c r="E116" s="73">
        <f t="shared" si="14"/>
        <v>0</v>
      </c>
      <c r="F116" s="73">
        <f t="shared" si="14"/>
        <v>0</v>
      </c>
      <c r="G116" s="73">
        <f t="shared" si="14"/>
        <v>0</v>
      </c>
      <c r="H116" s="73">
        <f t="shared" si="14"/>
        <v>0</v>
      </c>
      <c r="I116" s="73">
        <f t="shared" si="14"/>
        <v>0</v>
      </c>
      <c r="J116" s="73">
        <f t="shared" si="14"/>
        <v>0</v>
      </c>
      <c r="K116" s="73">
        <f t="shared" si="14"/>
        <v>0</v>
      </c>
      <c r="L116" s="33">
        <f t="shared" si="12"/>
        <v>0</v>
      </c>
    </row>
    <row r="117" spans="1:12" x14ac:dyDescent="0.25">
      <c r="A117" s="37" t="s">
        <v>114</v>
      </c>
      <c r="B117" s="38">
        <f t="shared" ref="B117:K117" si="15">SUM(B71:B114)+B115+B116</f>
        <v>38111024.5</v>
      </c>
      <c r="C117" s="38">
        <f t="shared" si="15"/>
        <v>2903538.75</v>
      </c>
      <c r="D117" s="38">
        <f t="shared" si="15"/>
        <v>2903538.75</v>
      </c>
      <c r="E117" s="38">
        <f t="shared" si="15"/>
        <v>2903538.75</v>
      </c>
      <c r="F117" s="38">
        <f t="shared" si="15"/>
        <v>2903538.75</v>
      </c>
      <c r="G117" s="38">
        <f t="shared" si="15"/>
        <v>2903538.75</v>
      </c>
      <c r="H117" s="38">
        <f t="shared" si="15"/>
        <v>2903538.75</v>
      </c>
      <c r="I117" s="38">
        <f t="shared" si="15"/>
        <v>2903538.75</v>
      </c>
      <c r="J117" s="38">
        <f t="shared" si="15"/>
        <v>2903538.75</v>
      </c>
      <c r="K117" s="38">
        <f t="shared" si="15"/>
        <v>2903538.75</v>
      </c>
      <c r="L117" s="38">
        <f t="shared" si="12"/>
        <v>64242873.25</v>
      </c>
    </row>
    <row r="118" spans="1:12" x14ac:dyDescent="0.25">
      <c r="A118" s="24" t="s">
        <v>117</v>
      </c>
      <c r="B118" s="25"/>
      <c r="C118" s="26"/>
      <c r="D118" s="26"/>
      <c r="E118" s="26"/>
      <c r="F118" s="26"/>
      <c r="G118" s="26"/>
      <c r="H118" s="26"/>
      <c r="I118" s="26"/>
      <c r="J118" s="26"/>
      <c r="K118" s="27"/>
      <c r="L118" s="28"/>
    </row>
    <row r="119" spans="1:12" x14ac:dyDescent="0.25">
      <c r="A119" s="37" t="s">
        <v>115</v>
      </c>
      <c r="B119" s="38">
        <f>'Case &amp; Scenario Parameters'!$G$11*$B$4</f>
        <v>104832500</v>
      </c>
      <c r="C119" s="38">
        <f>'Case &amp; Scenario Parameters'!$G$11*$B$4</f>
        <v>104832500</v>
      </c>
      <c r="D119" s="38">
        <f>'Case &amp; Scenario Parameters'!$G$11*$B$4</f>
        <v>104832500</v>
      </c>
      <c r="E119" s="38">
        <f>'Case &amp; Scenario Parameters'!$G$11*$B$4</f>
        <v>104832500</v>
      </c>
      <c r="F119" s="38">
        <f>'Case &amp; Scenario Parameters'!$G$11*$B$4</f>
        <v>104832500</v>
      </c>
      <c r="G119" s="38">
        <f>'Case &amp; Scenario Parameters'!$G$11*$B$4</f>
        <v>104832500</v>
      </c>
      <c r="H119" s="38">
        <f>'Case &amp; Scenario Parameters'!$G$11*$B$4</f>
        <v>104832500</v>
      </c>
      <c r="I119" s="38">
        <f>'Case &amp; Scenario Parameters'!$G$11*$B$4</f>
        <v>104832500</v>
      </c>
      <c r="J119" s="38">
        <f>'Case &amp; Scenario Parameters'!$G$11*$B$4</f>
        <v>104832500</v>
      </c>
      <c r="K119" s="38">
        <f>'Case &amp; Scenario Parameters'!$G$11*$B$4</f>
        <v>104832500</v>
      </c>
      <c r="L119" s="41">
        <f>SUM(B119:K119)</f>
        <v>1048325000</v>
      </c>
    </row>
    <row r="120" spans="1:12" ht="14.25" x14ac:dyDescent="0.2"/>
    <row r="121" spans="1:12" ht="14.25" x14ac:dyDescent="0.2"/>
    <row r="122" spans="1:12" ht="14.25" x14ac:dyDescent="0.2"/>
    <row r="123" spans="1:12" ht="14.25" x14ac:dyDescent="0.2"/>
    <row r="124" spans="1:12" ht="14.25" x14ac:dyDescent="0.2"/>
    <row r="125" spans="1:12" ht="14.25" x14ac:dyDescent="0.2"/>
    <row r="126" spans="1:12" ht="14.25" x14ac:dyDescent="0.2"/>
    <row r="127" spans="1:12" ht="14.25" x14ac:dyDescent="0.2"/>
  </sheetData>
  <sheetProtection algorithmName="SHA-512" hashValue="lj1z49/0iNJ5YMZWj9ZscYcPGuIyUsmfJUfAWTki2fH0ZyLnWdd8UDIFtC6amgNNgoHWKTfuChbS5GFc9LDRYw==" saltValue="qdwQWZZlt9WqVuOYzHq2Ug==" spinCount="100000" sheet="1" objects="1" scenario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Unit Prices</vt:lpstr>
      <vt:lpstr>Case &amp; Scenario Parameters</vt:lpstr>
      <vt:lpstr>Qualitative Analysis</vt:lpstr>
      <vt:lpstr>Results</vt:lpstr>
      <vt:lpstr>Base</vt:lpstr>
      <vt:lpstr>Scenario1</vt:lpstr>
      <vt:lpstr>Scenario2</vt:lpstr>
      <vt:lpstr>Scenario3</vt:lpstr>
      <vt:lpstr>Scenario4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Maletz, Sophia</dc:creator>
  <cp:lastModifiedBy>AGolub</cp:lastModifiedBy>
  <dcterms:created xsi:type="dcterms:W3CDTF">2020-09-17T21:00:29Z</dcterms:created>
  <dcterms:modified xsi:type="dcterms:W3CDTF">2021-05-11T06:43:34Z</dcterms:modified>
</cp:coreProperties>
</file>